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D:\Documents\konferencie a clanky\2016_didinfo\"/>
    </mc:Choice>
  </mc:AlternateContent>
  <bookViews>
    <workbookView xWindow="360" yWindow="45" windowWidth="20940" windowHeight="10620" activeTab="2"/>
  </bookViews>
  <sheets>
    <sheet name="úvod, výskumný problém a otázky" sheetId="1" r:id="rId1"/>
    <sheet name="premenné a hypotézy" sheetId="2" r:id="rId2"/>
    <sheet name="dotazník" sheetId="3" r:id="rId3"/>
    <sheet name="dáta" sheetId="4" r:id="rId4"/>
    <sheet name="spoločné grafy" sheetId="10" r:id="rId5"/>
    <sheet name="svetlo" sheetId="5" r:id="rId6"/>
    <sheet name="teplo" sheetId="6" r:id="rId7"/>
    <sheet name="vlhkosť" sheetId="7" r:id="rId8"/>
    <sheet name="ostatné závislosti" sheetId="8" r:id="rId9"/>
    <sheet name="Záver" sheetId="9" r:id="rId10"/>
  </sheets>
  <calcPr calcId="152511"/>
</workbook>
</file>

<file path=xl/calcChain.xml><?xml version="1.0" encoding="utf-8"?>
<calcChain xmlns="http://schemas.openxmlformats.org/spreadsheetml/2006/main">
  <c r="F7" i="9" l="1"/>
  <c r="F8" i="9"/>
  <c r="F9" i="9"/>
  <c r="F10" i="9"/>
  <c r="F6" i="9"/>
  <c r="J3" i="8"/>
  <c r="J2" i="8"/>
  <c r="I40" i="7"/>
  <c r="G40" i="6"/>
  <c r="J40" i="5"/>
  <c r="T3" i="4"/>
  <c r="R3" i="4"/>
  <c r="P3" i="4"/>
  <c r="N3" i="4"/>
  <c r="U3" i="4"/>
  <c r="S3" i="4"/>
  <c r="Q3" i="4"/>
  <c r="O3" i="4"/>
  <c r="M3" i="4"/>
  <c r="L3" i="4"/>
  <c r="C5" i="4" l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4" i="4"/>
  <c r="C56" i="4" l="1"/>
  <c r="C54" i="4"/>
  <c r="C55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" i="4"/>
  <c r="G40" i="4"/>
  <c r="G42" i="4"/>
  <c r="G32" i="4"/>
  <c r="G39" i="4"/>
  <c r="G35" i="4"/>
  <c r="G31" i="4"/>
  <c r="G34" i="4"/>
  <c r="G37" i="4"/>
  <c r="G38" i="4"/>
  <c r="G30" i="4"/>
  <c r="G36" i="4"/>
  <c r="G41" i="4"/>
  <c r="G18" i="4"/>
  <c r="G24" i="4"/>
  <c r="G23" i="4"/>
  <c r="G20" i="4"/>
  <c r="G26" i="4"/>
  <c r="G19" i="4"/>
  <c r="G17" i="4"/>
  <c r="G29" i="4"/>
  <c r="G21" i="4"/>
  <c r="G22" i="4"/>
  <c r="G25" i="4"/>
  <c r="G28" i="4"/>
  <c r="G27" i="4"/>
  <c r="G11" i="4"/>
  <c r="G16" i="4"/>
  <c r="G8" i="4"/>
  <c r="G4" i="4"/>
  <c r="G13" i="4"/>
  <c r="G7" i="4"/>
  <c r="G5" i="4"/>
  <c r="G6" i="4"/>
  <c r="G14" i="4"/>
  <c r="G10" i="4"/>
  <c r="G15" i="4"/>
  <c r="G12" i="4"/>
  <c r="G9" i="4"/>
  <c r="G33" i="4"/>
  <c r="F40" i="4"/>
  <c r="F42" i="4"/>
  <c r="F32" i="4"/>
  <c r="F39" i="4"/>
  <c r="F35" i="4"/>
  <c r="F31" i="4"/>
  <c r="F34" i="4"/>
  <c r="F37" i="4"/>
  <c r="F38" i="4"/>
  <c r="F30" i="4"/>
  <c r="F36" i="4"/>
  <c r="F41" i="4"/>
  <c r="F18" i="4"/>
  <c r="F24" i="4"/>
  <c r="F23" i="4"/>
  <c r="F20" i="4"/>
  <c r="F26" i="4"/>
  <c r="F19" i="4"/>
  <c r="F17" i="4"/>
  <c r="F29" i="4"/>
  <c r="F21" i="4"/>
  <c r="F22" i="4"/>
  <c r="F25" i="4"/>
  <c r="F28" i="4"/>
  <c r="F27" i="4"/>
  <c r="F11" i="4"/>
  <c r="F16" i="4"/>
  <c r="F8" i="4"/>
  <c r="F4" i="4"/>
  <c r="F13" i="4"/>
  <c r="F7" i="4"/>
  <c r="F5" i="4"/>
  <c r="F6" i="4"/>
  <c r="F14" i="4"/>
  <c r="F10" i="4"/>
  <c r="F15" i="4"/>
  <c r="F12" i="4"/>
  <c r="F9" i="4"/>
  <c r="F33" i="4"/>
  <c r="D40" i="4"/>
  <c r="D42" i="4"/>
  <c r="D32" i="4"/>
  <c r="D39" i="4"/>
  <c r="D35" i="4"/>
  <c r="D31" i="4"/>
  <c r="D34" i="4"/>
  <c r="D37" i="4"/>
  <c r="D38" i="4"/>
  <c r="D30" i="4"/>
  <c r="D36" i="4"/>
  <c r="D41" i="4"/>
  <c r="D18" i="4"/>
  <c r="D24" i="4"/>
  <c r="D23" i="4"/>
  <c r="D20" i="4"/>
  <c r="D26" i="4"/>
  <c r="D19" i="4"/>
  <c r="D17" i="4"/>
  <c r="D29" i="4"/>
  <c r="D21" i="4"/>
  <c r="D22" i="4"/>
  <c r="D25" i="4"/>
  <c r="D28" i="4"/>
  <c r="D27" i="4"/>
  <c r="D11" i="4"/>
  <c r="D16" i="4"/>
  <c r="D8" i="4"/>
  <c r="D4" i="4"/>
  <c r="D13" i="4"/>
  <c r="D7" i="4"/>
  <c r="D5" i="4"/>
  <c r="D6" i="4"/>
  <c r="D14" i="4"/>
  <c r="D10" i="4"/>
  <c r="D15" i="4"/>
  <c r="D12" i="4"/>
  <c r="D9" i="4"/>
  <c r="D33" i="4"/>
  <c r="E28" i="9" l="1"/>
  <c r="E23" i="9"/>
  <c r="E18" i="9"/>
  <c r="G55" i="4"/>
  <c r="G54" i="4"/>
  <c r="D13" i="9" s="1"/>
  <c r="G56" i="4"/>
  <c r="D54" i="4"/>
  <c r="D56" i="4"/>
  <c r="D55" i="4"/>
  <c r="F54" i="4"/>
  <c r="F56" i="4"/>
  <c r="F55" i="4"/>
  <c r="E55" i="4"/>
  <c r="E54" i="4"/>
  <c r="E56" i="4"/>
  <c r="D29" i="7"/>
  <c r="C29" i="6"/>
  <c r="D27" i="7"/>
  <c r="D28" i="7"/>
  <c r="D25" i="7"/>
  <c r="D26" i="7"/>
  <c r="C28" i="6"/>
  <c r="C27" i="6"/>
  <c r="C26" i="6"/>
  <c r="C25" i="6"/>
  <c r="E25" i="5"/>
  <c r="E26" i="5"/>
  <c r="E27" i="5"/>
  <c r="H4" i="4"/>
  <c r="H50" i="4"/>
  <c r="H46" i="4"/>
  <c r="H51" i="4"/>
  <c r="H47" i="4"/>
  <c r="H43" i="4"/>
  <c r="H39" i="4"/>
  <c r="H35" i="4"/>
  <c r="H31" i="4"/>
  <c r="H27" i="4"/>
  <c r="H19" i="4"/>
  <c r="H15" i="4"/>
  <c r="H11" i="4"/>
  <c r="H38" i="4"/>
  <c r="H26" i="4"/>
  <c r="H18" i="4"/>
  <c r="L6" i="4"/>
  <c r="L10" i="4"/>
  <c r="L14" i="4"/>
  <c r="L18" i="4"/>
  <c r="L22" i="4"/>
  <c r="L26" i="4"/>
  <c r="L30" i="4"/>
  <c r="L34" i="4"/>
  <c r="L38" i="4"/>
  <c r="L42" i="4"/>
  <c r="L46" i="4"/>
  <c r="L50" i="4"/>
  <c r="L52" i="4"/>
  <c r="L9" i="4"/>
  <c r="L21" i="4"/>
  <c r="L29" i="4"/>
  <c r="L37" i="4"/>
  <c r="L45" i="4"/>
  <c r="L53" i="4"/>
  <c r="L7" i="4"/>
  <c r="L11" i="4"/>
  <c r="L15" i="4"/>
  <c r="L19" i="4"/>
  <c r="L23" i="4"/>
  <c r="L27" i="4"/>
  <c r="L31" i="4"/>
  <c r="L35" i="4"/>
  <c r="L39" i="4"/>
  <c r="L43" i="4"/>
  <c r="L47" i="4"/>
  <c r="L51" i="4"/>
  <c r="L8" i="4"/>
  <c r="L12" i="4"/>
  <c r="L16" i="4"/>
  <c r="L20" i="4"/>
  <c r="L24" i="4"/>
  <c r="L28" i="4"/>
  <c r="L32" i="4"/>
  <c r="L36" i="4"/>
  <c r="L40" i="4"/>
  <c r="L44" i="4"/>
  <c r="L48" i="4"/>
  <c r="L5" i="4"/>
  <c r="L13" i="4"/>
  <c r="L17" i="4"/>
  <c r="L25" i="4"/>
  <c r="L33" i="4"/>
  <c r="L41" i="4"/>
  <c r="L49" i="4"/>
  <c r="H6" i="4"/>
  <c r="L4" i="4"/>
  <c r="H23" i="4"/>
  <c r="H30" i="4"/>
  <c r="H22" i="4"/>
  <c r="H14" i="4"/>
  <c r="H10" i="4"/>
  <c r="H41" i="4"/>
  <c r="H37" i="4"/>
  <c r="H33" i="4"/>
  <c r="H29" i="4"/>
  <c r="H25" i="4"/>
  <c r="H21" i="4"/>
  <c r="H17" i="4"/>
  <c r="H13" i="4"/>
  <c r="H9" i="4"/>
  <c r="H5" i="4"/>
  <c r="H53" i="4"/>
  <c r="H49" i="4"/>
  <c r="H45" i="4"/>
  <c r="H7" i="4"/>
  <c r="H42" i="4"/>
  <c r="H34" i="4"/>
  <c r="H40" i="4"/>
  <c r="H36" i="4"/>
  <c r="H32" i="4"/>
  <c r="H28" i="4"/>
  <c r="H24" i="4"/>
  <c r="H20" i="4"/>
  <c r="H16" i="4"/>
  <c r="H12" i="4"/>
  <c r="H8" i="4"/>
  <c r="H52" i="4"/>
  <c r="H48" i="4"/>
  <c r="H44" i="4"/>
  <c r="P10" i="4" l="1"/>
  <c r="N42" i="4"/>
  <c r="R51" i="4"/>
  <c r="P12" i="4"/>
  <c r="N31" i="4"/>
  <c r="T44" i="4"/>
  <c r="E29" i="9"/>
  <c r="E24" i="9"/>
  <c r="R29" i="4"/>
  <c r="P48" i="4"/>
  <c r="Q48" i="4" s="1"/>
  <c r="N17" i="4"/>
  <c r="N10" i="4"/>
  <c r="N45" i="4"/>
  <c r="N24" i="4"/>
  <c r="P25" i="4"/>
  <c r="P49" i="4"/>
  <c r="T46" i="4"/>
  <c r="U46" i="4" s="1"/>
  <c r="N26" i="4"/>
  <c r="N40" i="4"/>
  <c r="N15" i="4"/>
  <c r="N47" i="4"/>
  <c r="P42" i="4"/>
  <c r="P23" i="4"/>
  <c r="R17" i="4"/>
  <c r="S17" i="4" s="1"/>
  <c r="T27" i="4"/>
  <c r="R36" i="4"/>
  <c r="S36" i="4" s="1"/>
  <c r="P21" i="4"/>
  <c r="Q21" i="4" s="1"/>
  <c r="N33" i="4"/>
  <c r="N18" i="4"/>
  <c r="O18" i="4" s="1"/>
  <c r="N34" i="4"/>
  <c r="N50" i="4"/>
  <c r="N9" i="4"/>
  <c r="N7" i="4"/>
  <c r="O7" i="4" s="1"/>
  <c r="N23" i="4"/>
  <c r="N39" i="4"/>
  <c r="N4" i="4"/>
  <c r="N44" i="4"/>
  <c r="P26" i="4"/>
  <c r="P8" i="4"/>
  <c r="Q8" i="4" s="1"/>
  <c r="P7" i="4"/>
  <c r="Q7" i="4" s="1"/>
  <c r="P39" i="4"/>
  <c r="Q39" i="4" s="1"/>
  <c r="P28" i="4"/>
  <c r="R26" i="4"/>
  <c r="R19" i="4"/>
  <c r="T14" i="4"/>
  <c r="T33" i="4"/>
  <c r="T8" i="4"/>
  <c r="P37" i="4"/>
  <c r="Q37" i="4" s="1"/>
  <c r="N49" i="4"/>
  <c r="O49" i="4" s="1"/>
  <c r="R6" i="4"/>
  <c r="T37" i="4"/>
  <c r="N14" i="4"/>
  <c r="O14" i="4" s="1"/>
  <c r="N22" i="4"/>
  <c r="O22" i="4" s="1"/>
  <c r="N30" i="4"/>
  <c r="N38" i="4"/>
  <c r="O38" i="4" s="1"/>
  <c r="N46" i="4"/>
  <c r="O46" i="4" s="1"/>
  <c r="N8" i="4"/>
  <c r="O8" i="4" s="1"/>
  <c r="N48" i="4"/>
  <c r="O48" i="4" s="1"/>
  <c r="N37" i="4"/>
  <c r="N53" i="4"/>
  <c r="O53" i="4" s="1"/>
  <c r="N11" i="4"/>
  <c r="O11" i="4" s="1"/>
  <c r="N19" i="4"/>
  <c r="O19" i="4" s="1"/>
  <c r="N27" i="4"/>
  <c r="N35" i="4"/>
  <c r="N43" i="4"/>
  <c r="N51" i="4"/>
  <c r="N16" i="4"/>
  <c r="O16" i="4" s="1"/>
  <c r="N32" i="4"/>
  <c r="N5" i="4"/>
  <c r="O5" i="4" s="1"/>
  <c r="N25" i="4"/>
  <c r="P18" i="4"/>
  <c r="P34" i="4"/>
  <c r="P50" i="4"/>
  <c r="Q50" i="4" s="1"/>
  <c r="P52" i="4"/>
  <c r="Q52" i="4" s="1"/>
  <c r="P45" i="4"/>
  <c r="Q45" i="4" s="1"/>
  <c r="P15" i="4"/>
  <c r="Q15" i="4" s="1"/>
  <c r="P31" i="4"/>
  <c r="P47" i="4"/>
  <c r="Q47" i="4" s="1"/>
  <c r="P20" i="4"/>
  <c r="P36" i="4"/>
  <c r="P13" i="4"/>
  <c r="R10" i="4"/>
  <c r="S10" i="4" s="1"/>
  <c r="R42" i="4"/>
  <c r="S42" i="4" s="1"/>
  <c r="R49" i="4"/>
  <c r="R35" i="4"/>
  <c r="R16" i="4"/>
  <c r="R52" i="4"/>
  <c r="T30" i="4"/>
  <c r="T13" i="4"/>
  <c r="U13" i="4" s="1"/>
  <c r="T11" i="4"/>
  <c r="T43" i="4"/>
  <c r="U43" i="4" s="1"/>
  <c r="T28" i="4"/>
  <c r="E30" i="9"/>
  <c r="E19" i="9"/>
  <c r="E20" i="9" s="1"/>
  <c r="R45" i="4"/>
  <c r="T53" i="4"/>
  <c r="U53" i="4" s="1"/>
  <c r="R18" i="4"/>
  <c r="S18" i="4" s="1"/>
  <c r="R34" i="4"/>
  <c r="R50" i="4"/>
  <c r="R33" i="4"/>
  <c r="R11" i="4"/>
  <c r="S11" i="4" s="1"/>
  <c r="R27" i="4"/>
  <c r="R43" i="4"/>
  <c r="S43" i="4" s="1"/>
  <c r="R8" i="4"/>
  <c r="S8" i="4" s="1"/>
  <c r="R24" i="4"/>
  <c r="S24" i="4" s="1"/>
  <c r="R44" i="4"/>
  <c r="S44" i="4" s="1"/>
  <c r="R13" i="4"/>
  <c r="S13" i="4" s="1"/>
  <c r="T6" i="4"/>
  <c r="U6" i="4" s="1"/>
  <c r="T22" i="4"/>
  <c r="T38" i="4"/>
  <c r="U38" i="4" s="1"/>
  <c r="T52" i="4"/>
  <c r="U52" i="4" s="1"/>
  <c r="T21" i="4"/>
  <c r="U21" i="4" s="1"/>
  <c r="T49" i="4"/>
  <c r="T19" i="4"/>
  <c r="U19" i="4" s="1"/>
  <c r="T35" i="4"/>
  <c r="T51" i="4"/>
  <c r="U51" i="4" s="1"/>
  <c r="T20" i="4"/>
  <c r="U20" i="4" s="1"/>
  <c r="T36" i="4"/>
  <c r="U36" i="4" s="1"/>
  <c r="T9" i="4"/>
  <c r="P6" i="4"/>
  <c r="Q6" i="4" s="1"/>
  <c r="P41" i="4"/>
  <c r="P29" i="4"/>
  <c r="P17" i="4"/>
  <c r="Q17" i="4" s="1"/>
  <c r="P5" i="4"/>
  <c r="Q5" i="4" s="1"/>
  <c r="P44" i="4"/>
  <c r="Q44" i="4" s="1"/>
  <c r="P32" i="4"/>
  <c r="P24" i="4"/>
  <c r="P16" i="4"/>
  <c r="Q16" i="4" s="1"/>
  <c r="P51" i="4"/>
  <c r="Q51" i="4" s="1"/>
  <c r="P43" i="4"/>
  <c r="Q43" i="4" s="1"/>
  <c r="P35" i="4"/>
  <c r="Q35" i="4" s="1"/>
  <c r="P27" i="4"/>
  <c r="P19" i="4"/>
  <c r="Q19" i="4" s="1"/>
  <c r="P11" i="4"/>
  <c r="Q11" i="4" s="1"/>
  <c r="P53" i="4"/>
  <c r="Q53" i="4" s="1"/>
  <c r="P33" i="4"/>
  <c r="P9" i="4"/>
  <c r="Q9" i="4" s="1"/>
  <c r="P40" i="4"/>
  <c r="Q40" i="4" s="1"/>
  <c r="P4" i="4"/>
  <c r="Q4" i="4" s="1"/>
  <c r="P46" i="4"/>
  <c r="Q46" i="4" s="1"/>
  <c r="P38" i="4"/>
  <c r="Q38" i="4" s="1"/>
  <c r="P30" i="4"/>
  <c r="P22" i="4"/>
  <c r="Q22" i="4" s="1"/>
  <c r="P14" i="4"/>
  <c r="Q14" i="4" s="1"/>
  <c r="R28" i="4"/>
  <c r="R53" i="4"/>
  <c r="S53" i="4" s="1"/>
  <c r="R37" i="4"/>
  <c r="S37" i="4" s="1"/>
  <c r="R21" i="4"/>
  <c r="S21" i="4" s="1"/>
  <c r="R9" i="4"/>
  <c r="S9" i="4" s="1"/>
  <c r="R48" i="4"/>
  <c r="S48" i="4" s="1"/>
  <c r="R40" i="4"/>
  <c r="S40" i="4" s="1"/>
  <c r="R32" i="4"/>
  <c r="R20" i="4"/>
  <c r="S20" i="4" s="1"/>
  <c r="R12" i="4"/>
  <c r="S12" i="4" s="1"/>
  <c r="R4" i="4"/>
  <c r="S4" i="4" s="1"/>
  <c r="R47" i="4"/>
  <c r="S47" i="4" s="1"/>
  <c r="R39" i="4"/>
  <c r="S39" i="4" s="1"/>
  <c r="R31" i="4"/>
  <c r="R23" i="4"/>
  <c r="S23" i="4" s="1"/>
  <c r="R15" i="4"/>
  <c r="S15" i="4" s="1"/>
  <c r="R7" i="4"/>
  <c r="S7" i="4" s="1"/>
  <c r="R41" i="4"/>
  <c r="S41" i="4" s="1"/>
  <c r="R25" i="4"/>
  <c r="R5" i="4"/>
  <c r="S5" i="4" s="1"/>
  <c r="R46" i="4"/>
  <c r="S46" i="4" s="1"/>
  <c r="R38" i="4"/>
  <c r="S38" i="4" s="1"/>
  <c r="R30" i="4"/>
  <c r="R22" i="4"/>
  <c r="S22" i="4" s="1"/>
  <c r="R14" i="4"/>
  <c r="S14" i="4" s="1"/>
  <c r="N6" i="4"/>
  <c r="O6" i="4" s="1"/>
  <c r="N41" i="4"/>
  <c r="O41" i="4" s="1"/>
  <c r="N29" i="4"/>
  <c r="N21" i="4"/>
  <c r="O21" i="4" s="1"/>
  <c r="N13" i="4"/>
  <c r="O13" i="4" s="1"/>
  <c r="N52" i="4"/>
  <c r="O52" i="4" s="1"/>
  <c r="N36" i="4"/>
  <c r="O36" i="4" s="1"/>
  <c r="N28" i="4"/>
  <c r="N20" i="4"/>
  <c r="O20" i="4" s="1"/>
  <c r="N12" i="4"/>
  <c r="O12" i="4" s="1"/>
  <c r="T12" i="4"/>
  <c r="U12" i="4" s="1"/>
  <c r="T45" i="4"/>
  <c r="U45" i="4" s="1"/>
  <c r="T29" i="4"/>
  <c r="T48" i="4"/>
  <c r="U48" i="4" s="1"/>
  <c r="T40" i="4"/>
  <c r="U40" i="4" s="1"/>
  <c r="T32" i="4"/>
  <c r="T24" i="4"/>
  <c r="U24" i="4" s="1"/>
  <c r="T16" i="4"/>
  <c r="U16" i="4" s="1"/>
  <c r="T4" i="4"/>
  <c r="U4" i="4" s="1"/>
  <c r="T47" i="4"/>
  <c r="U47" i="4" s="1"/>
  <c r="T39" i="4"/>
  <c r="U39" i="4" s="1"/>
  <c r="T31" i="4"/>
  <c r="T23" i="4"/>
  <c r="U23" i="4" s="1"/>
  <c r="T15" i="4"/>
  <c r="U15" i="4" s="1"/>
  <c r="T7" i="4"/>
  <c r="U7" i="4" s="1"/>
  <c r="T41" i="4"/>
  <c r="U41" i="4" s="1"/>
  <c r="T25" i="4"/>
  <c r="T17" i="4"/>
  <c r="U17" i="4" s="1"/>
  <c r="T5" i="4"/>
  <c r="U5" i="4" s="1"/>
  <c r="T50" i="4"/>
  <c r="U50" i="4" s="1"/>
  <c r="T42" i="4"/>
  <c r="U42" i="4" s="1"/>
  <c r="T34" i="4"/>
  <c r="T26" i="4"/>
  <c r="U26" i="4" s="1"/>
  <c r="T18" i="4"/>
  <c r="U18" i="4" s="1"/>
  <c r="T10" i="4"/>
  <c r="U10" i="4" s="1"/>
  <c r="H54" i="4"/>
  <c r="D14" i="9" s="1"/>
  <c r="D15" i="9" s="1"/>
  <c r="H55" i="4"/>
  <c r="H56" i="4"/>
  <c r="P5" i="10"/>
  <c r="G40" i="5" s="1"/>
  <c r="L40" i="5" s="1"/>
  <c r="H6" i="9" s="1"/>
  <c r="P9" i="10"/>
  <c r="P7" i="10"/>
  <c r="P6" i="10"/>
  <c r="P8" i="10"/>
  <c r="U49" i="4"/>
  <c r="S26" i="4"/>
  <c r="U37" i="4"/>
  <c r="U11" i="4"/>
  <c r="U22" i="4"/>
  <c r="S25" i="4"/>
  <c r="U8" i="4"/>
  <c r="U44" i="4"/>
  <c r="U9" i="4"/>
  <c r="U14" i="4"/>
  <c r="U35" i="4"/>
  <c r="Q23" i="4"/>
  <c r="S51" i="4"/>
  <c r="S19" i="4"/>
  <c r="S50" i="4"/>
  <c r="S49" i="4"/>
  <c r="S16" i="4"/>
  <c r="S52" i="4"/>
  <c r="S45" i="4"/>
  <c r="S6" i="4"/>
  <c r="Q49" i="4"/>
  <c r="Q18" i="4"/>
  <c r="M52" i="4"/>
  <c r="Q13" i="4"/>
  <c r="Q24" i="4"/>
  <c r="Q10" i="4"/>
  <c r="Q42" i="4"/>
  <c r="Q12" i="4"/>
  <c r="Q34" i="4"/>
  <c r="Q20" i="4"/>
  <c r="Q41" i="4"/>
  <c r="O37" i="4"/>
  <c r="O10" i="4"/>
  <c r="O42" i="4"/>
  <c r="O45" i="4"/>
  <c r="M16" i="4"/>
  <c r="O23" i="4"/>
  <c r="O39" i="4"/>
  <c r="O26" i="4"/>
  <c r="O27" i="4"/>
  <c r="O15" i="4"/>
  <c r="O47" i="4"/>
  <c r="O43" i="4"/>
  <c r="O17" i="4"/>
  <c r="M6" i="4"/>
  <c r="M44" i="4"/>
  <c r="M43" i="4"/>
  <c r="O50" i="4"/>
  <c r="O40" i="4"/>
  <c r="O9" i="4"/>
  <c r="O51" i="4"/>
  <c r="O24" i="4"/>
  <c r="O44" i="4"/>
  <c r="M21" i="4"/>
  <c r="M11" i="4"/>
  <c r="M45" i="4"/>
  <c r="M19" i="4"/>
  <c r="M27" i="4"/>
  <c r="M32" i="4"/>
  <c r="O4" i="4"/>
  <c r="M40" i="4"/>
  <c r="M49" i="4"/>
  <c r="M31" i="4"/>
  <c r="M53" i="4"/>
  <c r="M14" i="4"/>
  <c r="M30" i="4"/>
  <c r="M46" i="4"/>
  <c r="M13" i="4"/>
  <c r="M33" i="4"/>
  <c r="M51" i="4"/>
  <c r="M48" i="4"/>
  <c r="M47" i="4"/>
  <c r="M50" i="4"/>
  <c r="M39" i="4"/>
  <c r="M22" i="4"/>
  <c r="M10" i="4"/>
  <c r="M26" i="4"/>
  <c r="M42" i="4"/>
  <c r="M24" i="4"/>
  <c r="M29" i="4"/>
  <c r="M15" i="4"/>
  <c r="M9" i="4"/>
  <c r="M8" i="4"/>
  <c r="M38" i="4"/>
  <c r="M28" i="4"/>
  <c r="M35" i="4"/>
  <c r="M12" i="4"/>
  <c r="M25" i="4"/>
  <c r="M5" i="4"/>
  <c r="M18" i="4"/>
  <c r="M34" i="4"/>
  <c r="M36" i="4"/>
  <c r="M17" i="4"/>
  <c r="M41" i="4"/>
  <c r="M7" i="4"/>
  <c r="M23" i="4"/>
  <c r="M20" i="4"/>
  <c r="M37" i="4"/>
  <c r="M4" i="4"/>
  <c r="O33" i="4" l="1"/>
  <c r="O34" i="4"/>
  <c r="O25" i="4"/>
  <c r="Q26" i="4"/>
  <c r="O31" i="4"/>
  <c r="S35" i="4"/>
  <c r="S34" i="4"/>
  <c r="Q25" i="4"/>
  <c r="Q33" i="4"/>
  <c r="Q31" i="4"/>
  <c r="S27" i="4"/>
  <c r="U33" i="4"/>
  <c r="O28" i="4"/>
  <c r="E25" i="9"/>
  <c r="U28" i="4"/>
  <c r="Q36" i="4"/>
  <c r="O35" i="4"/>
  <c r="U30" i="4"/>
  <c r="S29" i="4"/>
  <c r="O30" i="4"/>
  <c r="U27" i="4"/>
  <c r="U25" i="4"/>
  <c r="Q32" i="4"/>
  <c r="S32" i="4"/>
  <c r="U29" i="4"/>
  <c r="Q28" i="4"/>
  <c r="S33" i="4"/>
  <c r="U34" i="4"/>
  <c r="Q29" i="4"/>
  <c r="U31" i="4"/>
  <c r="Q27" i="4"/>
  <c r="O32" i="4"/>
  <c r="U32" i="4"/>
  <c r="S30" i="4"/>
  <c r="S28" i="4"/>
  <c r="O29" i="4"/>
  <c r="Q30" i="4"/>
  <c r="S31" i="4"/>
  <c r="Q9" i="10"/>
  <c r="G3" i="8"/>
  <c r="Q8" i="10"/>
  <c r="G2" i="8"/>
  <c r="L3" i="8" s="1"/>
  <c r="Q7" i="10"/>
  <c r="F40" i="7"/>
  <c r="K40" i="7" s="1"/>
  <c r="H8" i="9" s="1"/>
  <c r="Q6" i="10"/>
  <c r="D40" i="6"/>
  <c r="I40" i="6" s="1"/>
  <c r="H7" i="9" s="1"/>
  <c r="Q5" i="10"/>
  <c r="R6" i="10"/>
  <c r="R9" i="10"/>
  <c r="R8" i="10"/>
  <c r="R7" i="10"/>
  <c r="R5" i="10"/>
  <c r="I2" i="8" l="1"/>
  <c r="E9" i="9"/>
  <c r="F40" i="6"/>
  <c r="E7" i="9"/>
  <c r="H40" i="7"/>
  <c r="E8" i="9"/>
  <c r="I3" i="8"/>
  <c r="E10" i="9"/>
  <c r="E40" i="6"/>
  <c r="D7" i="9"/>
  <c r="G40" i="7"/>
  <c r="D8" i="9"/>
  <c r="H2" i="8"/>
  <c r="L2" i="8" s="1"/>
  <c r="D9" i="9"/>
  <c r="H3" i="8"/>
  <c r="D10" i="9"/>
  <c r="I40" i="5"/>
  <c r="E6" i="9"/>
  <c r="H40" i="5"/>
  <c r="D6" i="9"/>
</calcChain>
</file>

<file path=xl/sharedStrings.xml><?xml version="1.0" encoding="utf-8"?>
<sst xmlns="http://schemas.openxmlformats.org/spreadsheetml/2006/main" count="116" uniqueCount="89">
  <si>
    <t>hypotéza 1.:</t>
  </si>
  <si>
    <t>hypotéza 2.:</t>
  </si>
  <si>
    <t>hypotéza 3.:</t>
  </si>
  <si>
    <t>Plody, ktoré sú v čase zberu vystavené slnečnému svetlu obsahujú väčšie množstvo tryskinu ako tie, ktoré sú v čase zberu v tieni alebo v tme.</t>
  </si>
  <si>
    <t>Plody, ktoré sú v čase zberu vystavené vyššej teplote obsahujú väčšie množstvo tryskinu ako tie, ktoré sú v čase zberu v chladnejšich lokalitách.</t>
  </si>
  <si>
    <t>Dotazník pre zberateľov plodov Cyphomandry Vitry</t>
  </si>
  <si>
    <t>1. Intenzita svetla (lux):</t>
  </si>
  <si>
    <r>
      <t>2. Teplota nameraná v blizkosti (do 10 cm) zberaných plodov (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C):</t>
    </r>
  </si>
  <si>
    <t>3. Vlhkosť pôdy v hĺbke 10 cm (%):</t>
  </si>
  <si>
    <t>5. Hmotnosť plodu (g):</t>
  </si>
  <si>
    <t>6: Možstvo tryskinu v plode (%):</t>
  </si>
  <si>
    <t>vzorka</t>
  </si>
  <si>
    <t>poradie</t>
  </si>
  <si>
    <t>teplota</t>
  </si>
  <si>
    <t>svetlo</t>
  </si>
  <si>
    <t>vlhkost</t>
  </si>
  <si>
    <t>hmotnost</t>
  </si>
  <si>
    <t>koeficient korelácie svetlo a percento tryskinu:</t>
  </si>
  <si>
    <t>jasný, slnečný deň, tieň</t>
  </si>
  <si>
    <t>šero, súmrak</t>
  </si>
  <si>
    <t>noc, šero, slabé osvetlenie</t>
  </si>
  <si>
    <t>menej ako -5 stupňov</t>
  </si>
  <si>
    <t>-5 až 0</t>
  </si>
  <si>
    <t>0 až 5</t>
  </si>
  <si>
    <t>5 až 15</t>
  </si>
  <si>
    <t>koeficient korelácie teplo a percento tryskinu:</t>
  </si>
  <si>
    <t>menej ako 20%</t>
  </si>
  <si>
    <t>od 20% do 40%</t>
  </si>
  <si>
    <t>od 40% do 60%</t>
  </si>
  <si>
    <t>od 60% do 80%</t>
  </si>
  <si>
    <t>15 a viac</t>
  </si>
  <si>
    <t>80% a viac</t>
  </si>
  <si>
    <t>koeficient korelácie vlhkosť a percento tryskinu:</t>
  </si>
  <si>
    <t>Záver:</t>
  </si>
  <si>
    <t>Korelácia hmotnosti plodu a množstva tryskinu</t>
  </si>
  <si>
    <t>Dáta z dotazníka</t>
  </si>
  <si>
    <t>Dáta preusporiadané podľa rôznych kritérií.</t>
  </si>
  <si>
    <t>premenné:</t>
  </si>
  <si>
    <t>nezávislé:</t>
  </si>
  <si>
    <t>závislé:</t>
  </si>
  <si>
    <t>intenzita svetla v čase zberu</t>
  </si>
  <si>
    <t>teplota v čase zberu</t>
  </si>
  <si>
    <t>vlhkosť pôdy</t>
  </si>
  <si>
    <t>pH pôdy</t>
  </si>
  <si>
    <t>hmotnosť plodu</t>
  </si>
  <si>
    <t>množstvo tryskinu v plode (%)</t>
  </si>
  <si>
    <t xml:space="preserve">Rastliny na vlhkých stanovištiach budú mať plody s vyšším obsahom tryskinu ako tie, ktoré rástli na suchých stanovištiach. </t>
  </si>
  <si>
    <t>hypotéza 4:</t>
  </si>
  <si>
    <t>...</t>
  </si>
  <si>
    <r>
      <t>Teplota nameraná v blizkosti (do 10 cm) zberaných plodov (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  <charset val="238"/>
        <scheme val="minor"/>
      </rPr>
      <t>C):</t>
    </r>
  </si>
  <si>
    <t>Vlhkosť pôdy v hĺbke 10 cm (%):</t>
  </si>
  <si>
    <t>Hmotnosť plodu (g):</t>
  </si>
  <si>
    <t>Možstvo tryskinu v plode (%):</t>
  </si>
  <si>
    <t>Vplyv intenzity svetla na podiel tryskinu v plode</t>
  </si>
  <si>
    <t>Vplyv teploty na podiel tryskinu v plode</t>
  </si>
  <si>
    <t>Vplyv vlhkosti pôdy na podiel tryskinu v plode</t>
  </si>
  <si>
    <t>Vplyv hmotnosti plodu na podiel tryskinu v plode</t>
  </si>
  <si>
    <t>Skúmané závislosti (koeficient korelácie), meraná veličina a množstvo tryskinu.</t>
  </si>
  <si>
    <t>interpretácia</t>
  </si>
  <si>
    <t>závislosť</t>
  </si>
  <si>
    <t>pH</t>
  </si>
  <si>
    <t>4. pH pôdy:</t>
  </si>
  <si>
    <t>pH pôdy:</t>
  </si>
  <si>
    <t>Vplyv pH pôdy na podiel tryskinu v plode</t>
  </si>
  <si>
    <t>Svetelné podmienky pri zbere plodov cyphomandry</t>
  </si>
  <si>
    <t>Tepelné podmienky pri zbere  plodov cyphomandry</t>
  </si>
  <si>
    <t>Vlhkosť pôdy pri zbere  plodov cyphomandry</t>
  </si>
  <si>
    <t>Korelácia kyslosť pôdy a množstvo tryskinu:</t>
  </si>
  <si>
    <t>Zistili sme nasledovné závislosti medzi podmienkami v ktorých sa rastlina nachádza a množstvo tryskinu v jej plodoch:</t>
  </si>
  <si>
    <t>triskyn</t>
  </si>
  <si>
    <t>priemer</t>
  </si>
  <si>
    <t>max</t>
  </si>
  <si>
    <t>min</t>
  </si>
  <si>
    <t>Ak zoberieme do úvahy priemerné podmienky, tak:</t>
  </si>
  <si>
    <t>plod má hmotnosť:</t>
  </si>
  <si>
    <t>gramov</t>
  </si>
  <si>
    <t>a obsahuje:</t>
  </si>
  <si>
    <t>tryskinu</t>
  </si>
  <si>
    <t>t.j.</t>
  </si>
  <si>
    <t>gramov tryskinu</t>
  </si>
  <si>
    <t>plod má priemernú hmotnosť:</t>
  </si>
  <si>
    <t>a obsahuje priemerne:</t>
  </si>
  <si>
    <t>triskynu</t>
  </si>
  <si>
    <t>Ak uprednostníme zber len v kyslých pôdach (pH&lt;7), tak:</t>
  </si>
  <si>
    <t>Ak uprednostníme zber len pri dobrých svetelných (intenzita svetla&gt;10000 lx) podmienkach, tak:</t>
  </si>
  <si>
    <t>Ak uprednostníme zber len pri dobrých svetelných (intenzita svetla&gt;10000 lx) podmienkach a kyslé pôdy (pH&lt;7), tak:</t>
  </si>
  <si>
    <t>Intenzita svetla (lx):</t>
  </si>
  <si>
    <t>Spracoval:</t>
  </si>
  <si>
    <t>Jožko Mrkvička, Gymnázium Výkvet, 2. C, 25. 9.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</si>
</sst>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textRotation="45"/>
    </xf>
    <xf numFmtId="0" fontId="3" fillId="0" borderId="0" xfId="0" applyFont="1"/>
    <xf numFmtId="0" fontId="0" fillId="0" borderId="0" xfId="0" applyAlignment="1">
      <alignment horizontal="left" textRotation="90"/>
    </xf>
    <xf numFmtId="9" fontId="0" fillId="0" borderId="0" xfId="1" applyFont="1"/>
    <xf numFmtId="10" fontId="0" fillId="0" borderId="0" xfId="1" applyNumberFormat="1" applyFont="1"/>
    <xf numFmtId="0" fontId="0" fillId="2" borderId="0" xfId="0" applyFill="1" applyAlignment="1">
      <alignment horizontal="left" textRotation="90"/>
    </xf>
    <xf numFmtId="1" fontId="0" fillId="2" borderId="0" xfId="0" applyNumberFormat="1" applyFill="1"/>
    <xf numFmtId="2" fontId="0" fillId="2" borderId="0" xfId="0" applyNumberFormat="1" applyFill="1"/>
    <xf numFmtId="0" fontId="0" fillId="0" borderId="0" xfId="0" applyAlignment="1">
      <alignment textRotation="90"/>
    </xf>
    <xf numFmtId="0" fontId="0" fillId="3" borderId="0" xfId="0" applyFill="1" applyAlignment="1">
      <alignment textRotation="90"/>
    </xf>
    <xf numFmtId="1" fontId="0" fillId="3" borderId="0" xfId="0" applyNumberFormat="1" applyFill="1"/>
    <xf numFmtId="2" fontId="0" fillId="3" borderId="0" xfId="0" applyNumberFormat="1" applyFill="1"/>
    <xf numFmtId="0" fontId="0" fillId="4" borderId="0" xfId="0" applyFill="1" applyAlignment="1">
      <alignment textRotation="90"/>
    </xf>
    <xf numFmtId="2" fontId="0" fillId="4" borderId="0" xfId="0" applyNumberFormat="1" applyFill="1"/>
    <xf numFmtId="0" fontId="0" fillId="5" borderId="0" xfId="0" applyFill="1" applyAlignment="1">
      <alignment textRotation="90"/>
    </xf>
    <xf numFmtId="1" fontId="0" fillId="5" borderId="0" xfId="0" applyNumberFormat="1" applyFill="1"/>
    <xf numFmtId="2" fontId="0" fillId="5" borderId="0" xfId="0" applyNumberFormat="1" applyFill="1"/>
    <xf numFmtId="0" fontId="0" fillId="6" borderId="0" xfId="0" applyFill="1" applyAlignment="1">
      <alignment textRotation="90"/>
    </xf>
    <xf numFmtId="1" fontId="0" fillId="6" borderId="0" xfId="0" applyNumberFormat="1" applyFill="1"/>
    <xf numFmtId="2" fontId="0" fillId="6" borderId="0" xfId="0" applyNumberFormat="1" applyFill="1"/>
    <xf numFmtId="9" fontId="0" fillId="4" borderId="0" xfId="0" applyNumberFormat="1" applyFill="1"/>
    <xf numFmtId="0" fontId="0" fillId="7" borderId="0" xfId="0" applyFill="1"/>
    <xf numFmtId="1" fontId="0" fillId="0" borderId="0" xfId="0" applyNumberFormat="1"/>
    <xf numFmtId="0" fontId="0" fillId="0" borderId="0" xfId="0" applyFill="1"/>
    <xf numFmtId="0" fontId="0" fillId="0" borderId="4" xfId="0" applyBorder="1"/>
    <xf numFmtId="0" fontId="0" fillId="0" borderId="4" xfId="0" quotePrefix="1" applyBorder="1"/>
    <xf numFmtId="1" fontId="0" fillId="0" borderId="0" xfId="0" applyNumberFormat="1" applyFill="1"/>
    <xf numFmtId="0" fontId="4" fillId="0" borderId="0" xfId="0" applyFont="1"/>
    <xf numFmtId="0" fontId="0" fillId="3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4" borderId="4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Fill="1" applyBorder="1"/>
    <xf numFmtId="0" fontId="0" fillId="10" borderId="1" xfId="0" applyFill="1" applyBorder="1"/>
    <xf numFmtId="0" fontId="0" fillId="10" borderId="2" xfId="0" applyFill="1" applyBorder="1"/>
    <xf numFmtId="0" fontId="0" fillId="10" borderId="3" xfId="0" applyFill="1" applyBorder="1"/>
    <xf numFmtId="0" fontId="0" fillId="15" borderId="1" xfId="0" applyFill="1" applyBorder="1"/>
    <xf numFmtId="0" fontId="0" fillId="15" borderId="2" xfId="0" applyFill="1" applyBorder="1"/>
    <xf numFmtId="0" fontId="0" fillId="15" borderId="3" xfId="0" applyFill="1" applyBorder="1"/>
    <xf numFmtId="0" fontId="3" fillId="15" borderId="1" xfId="0" applyFont="1" applyFill="1" applyBorder="1"/>
    <xf numFmtId="0" fontId="3" fillId="10" borderId="1" xfId="0" applyFont="1" applyFill="1" applyBorder="1"/>
    <xf numFmtId="0" fontId="3" fillId="15" borderId="2" xfId="0" applyFont="1" applyFill="1" applyBorder="1"/>
    <xf numFmtId="0" fontId="3" fillId="15" borderId="3" xfId="0" applyFont="1" applyFill="1" applyBorder="1"/>
    <xf numFmtId="0" fontId="0" fillId="16" borderId="1" xfId="0" applyFill="1" applyBorder="1"/>
    <xf numFmtId="0" fontId="0" fillId="16" borderId="2" xfId="0" applyFill="1" applyBorder="1"/>
    <xf numFmtId="0" fontId="3" fillId="16" borderId="2" xfId="0" applyFont="1" applyFill="1" applyBorder="1"/>
    <xf numFmtId="0" fontId="3" fillId="16" borderId="3" xfId="0" applyFont="1" applyFill="1" applyBorder="1"/>
    <xf numFmtId="0" fontId="3" fillId="16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0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9" fontId="0" fillId="0" borderId="18" xfId="1" applyFont="1" applyBorder="1"/>
    <xf numFmtId="9" fontId="0" fillId="0" borderId="20" xfId="1" applyFont="1" applyBorder="1"/>
    <xf numFmtId="9" fontId="0" fillId="0" borderId="23" xfId="1" applyFont="1" applyBorder="1"/>
    <xf numFmtId="0" fontId="0" fillId="0" borderId="19" xfId="0" applyBorder="1"/>
    <xf numFmtId="0" fontId="0" fillId="0" borderId="21" xfId="0" applyFont="1" applyBorder="1"/>
    <xf numFmtId="0" fontId="0" fillId="0" borderId="16" xfId="0" applyFont="1" applyBorder="1"/>
    <xf numFmtId="0" fontId="3" fillId="0" borderId="0" xfId="0" applyFont="1" applyFill="1" applyBorder="1"/>
    <xf numFmtId="1" fontId="0" fillId="0" borderId="0" xfId="0" applyNumberFormat="1" applyFill="1" applyBorder="1"/>
    <xf numFmtId="9" fontId="0" fillId="0" borderId="0" xfId="1" applyFont="1" applyFill="1" applyBorder="1"/>
    <xf numFmtId="1" fontId="0" fillId="0" borderId="22" xfId="0" applyNumberFormat="1" applyFill="1" applyBorder="1"/>
    <xf numFmtId="0" fontId="0" fillId="0" borderId="22" xfId="0" applyFill="1" applyBorder="1"/>
    <xf numFmtId="1" fontId="0" fillId="0" borderId="17" xfId="0" applyNumberFormat="1" applyFill="1" applyBorder="1"/>
    <xf numFmtId="0" fontId="0" fillId="0" borderId="17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0" xfId="0" applyFill="1" applyBorder="1"/>
    <xf numFmtId="0" fontId="0" fillId="4" borderId="20" xfId="0" applyFill="1" applyBorder="1"/>
    <xf numFmtId="9" fontId="0" fillId="4" borderId="0" xfId="1" applyFont="1" applyFill="1" applyBorder="1"/>
    <xf numFmtId="0" fontId="0" fillId="4" borderId="21" xfId="0" applyFont="1" applyFill="1" applyBorder="1"/>
    <xf numFmtId="0" fontId="3" fillId="4" borderId="22" xfId="0" applyFont="1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16" xfId="0" applyFont="1" applyFill="1" applyBorder="1"/>
    <xf numFmtId="0" fontId="3" fillId="4" borderId="0" xfId="0" applyFont="1" applyFill="1" applyBorder="1"/>
    <xf numFmtId="1" fontId="0" fillId="4" borderId="0" xfId="0" applyNumberFormat="1" applyFill="1" applyBorder="1"/>
    <xf numFmtId="1" fontId="0" fillId="4" borderId="22" xfId="0" applyNumberFormat="1" applyFill="1" applyBorder="1"/>
    <xf numFmtId="0" fontId="0" fillId="3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5" fillId="9" borderId="0" xfId="0" applyFont="1" applyFill="1" applyAlignment="1">
      <alignment horizontal="center" vertical="center" wrapText="1"/>
    </xf>
    <xf numFmtId="0" fontId="5" fillId="11" borderId="0" xfId="0" applyFont="1" applyFill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5" fillId="13" borderId="0" xfId="0" applyFont="1" applyFill="1" applyAlignment="1">
      <alignment horizontal="center" vertical="center" wrapText="1"/>
    </xf>
    <xf numFmtId="0" fontId="5" fillId="14" borderId="0" xfId="0" applyFont="1" applyFill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0" borderId="0" xfId="0" applyFill="1" applyAlignment="1">
      <alignment horizontal="left"/>
    </xf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dáta!$L$2</c:f>
          <c:strCache>
            <c:ptCount val="1"/>
            <c:pt idx="0">
              <c:v>Vplyv intenzity svetla na podiel tryskinu v plode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dáta!$L$4:$L$53</c:f>
              <c:numCache>
                <c:formatCode>0</c:formatCode>
                <c:ptCount val="50"/>
                <c:pt idx="0">
                  <c:v>1.03</c:v>
                </c:pt>
                <c:pt idx="1">
                  <c:v>1.48</c:v>
                </c:pt>
                <c:pt idx="2">
                  <c:v>2.3199999999999998</c:v>
                </c:pt>
                <c:pt idx="3">
                  <c:v>2.75</c:v>
                </c:pt>
                <c:pt idx="4">
                  <c:v>3.27</c:v>
                </c:pt>
                <c:pt idx="5">
                  <c:v>3.79</c:v>
                </c:pt>
                <c:pt idx="6">
                  <c:v>3.98</c:v>
                </c:pt>
                <c:pt idx="7">
                  <c:v>5.45</c:v>
                </c:pt>
                <c:pt idx="8">
                  <c:v>5.56</c:v>
                </c:pt>
                <c:pt idx="9">
                  <c:v>5.61</c:v>
                </c:pt>
                <c:pt idx="10">
                  <c:v>7.47</c:v>
                </c:pt>
                <c:pt idx="11">
                  <c:v>7.48</c:v>
                </c:pt>
                <c:pt idx="12">
                  <c:v>9.8699999999999992</c:v>
                </c:pt>
                <c:pt idx="13">
                  <c:v>425.73</c:v>
                </c:pt>
                <c:pt idx="14">
                  <c:v>1034.98</c:v>
                </c:pt>
                <c:pt idx="15">
                  <c:v>2159.5100000000002</c:v>
                </c:pt>
                <c:pt idx="16">
                  <c:v>2256.0700000000002</c:v>
                </c:pt>
                <c:pt idx="17">
                  <c:v>2769.72</c:v>
                </c:pt>
                <c:pt idx="18">
                  <c:v>2930.14</c:v>
                </c:pt>
                <c:pt idx="19">
                  <c:v>3719.09</c:v>
                </c:pt>
                <c:pt idx="20">
                  <c:v>4908.82</c:v>
                </c:pt>
                <c:pt idx="21">
                  <c:v>5200.6400000000003</c:v>
                </c:pt>
                <c:pt idx="22">
                  <c:v>5442.85</c:v>
                </c:pt>
                <c:pt idx="23">
                  <c:v>5950.71</c:v>
                </c:pt>
                <c:pt idx="24">
                  <c:v>7275.96</c:v>
                </c:pt>
                <c:pt idx="25">
                  <c:v>8236.1200000000008</c:v>
                </c:pt>
                <c:pt idx="26">
                  <c:v>8703.93</c:v>
                </c:pt>
                <c:pt idx="27">
                  <c:v>8775.52</c:v>
                </c:pt>
                <c:pt idx="28">
                  <c:v>9171.91</c:v>
                </c:pt>
                <c:pt idx="29">
                  <c:v>9308.81</c:v>
                </c:pt>
                <c:pt idx="30">
                  <c:v>9777.02</c:v>
                </c:pt>
                <c:pt idx="31">
                  <c:v>37994.33</c:v>
                </c:pt>
                <c:pt idx="32">
                  <c:v>40100.93</c:v>
                </c:pt>
                <c:pt idx="33">
                  <c:v>43926.26</c:v>
                </c:pt>
                <c:pt idx="34">
                  <c:v>45672.74</c:v>
                </c:pt>
                <c:pt idx="35">
                  <c:v>46493.14</c:v>
                </c:pt>
                <c:pt idx="36">
                  <c:v>54619.47</c:v>
                </c:pt>
                <c:pt idx="37">
                  <c:v>55000.160000000003</c:v>
                </c:pt>
                <c:pt idx="38">
                  <c:v>56446.1</c:v>
                </c:pt>
                <c:pt idx="39">
                  <c:v>60700.63</c:v>
                </c:pt>
                <c:pt idx="40">
                  <c:v>62573.53</c:v>
                </c:pt>
                <c:pt idx="41">
                  <c:v>65945.009999999995</c:v>
                </c:pt>
                <c:pt idx="42">
                  <c:v>67788.600000000006</c:v>
                </c:pt>
                <c:pt idx="43">
                  <c:v>69497.02</c:v>
                </c:pt>
                <c:pt idx="44">
                  <c:v>72545.2</c:v>
                </c:pt>
                <c:pt idx="45">
                  <c:v>74827.3</c:v>
                </c:pt>
                <c:pt idx="46">
                  <c:v>86094.31</c:v>
                </c:pt>
                <c:pt idx="47">
                  <c:v>86450.5</c:v>
                </c:pt>
                <c:pt idx="48">
                  <c:v>93444.87</c:v>
                </c:pt>
                <c:pt idx="49">
                  <c:v>99361.41</c:v>
                </c:pt>
              </c:numCache>
            </c:numRef>
          </c:cat>
          <c:val>
            <c:numRef>
              <c:f>dáta!$M$4:$M$53</c:f>
              <c:numCache>
                <c:formatCode>0.00</c:formatCode>
                <c:ptCount val="50"/>
                <c:pt idx="0">
                  <c:v>4.4553399000000007E-2</c:v>
                </c:pt>
                <c:pt idx="1">
                  <c:v>0.227704884</c:v>
                </c:pt>
                <c:pt idx="2">
                  <c:v>0.118807656</c:v>
                </c:pt>
                <c:pt idx="3">
                  <c:v>0.13489657499999999</c:v>
                </c:pt>
                <c:pt idx="4">
                  <c:v>0.13737329100000001</c:v>
                </c:pt>
                <c:pt idx="5">
                  <c:v>0.12252500699999999</c:v>
                </c:pt>
                <c:pt idx="6">
                  <c:v>0.171613134</c:v>
                </c:pt>
                <c:pt idx="7">
                  <c:v>3.7304849999999943E-3</c:v>
                </c:pt>
                <c:pt idx="8">
                  <c:v>3.3018348000000031E-2</c:v>
                </c:pt>
                <c:pt idx="9">
                  <c:v>0.22978101300000003</c:v>
                </c:pt>
                <c:pt idx="10">
                  <c:v>6.0662151000000032E-2</c:v>
                </c:pt>
                <c:pt idx="11">
                  <c:v>0.21122468400000002</c:v>
                </c:pt>
                <c:pt idx="12">
                  <c:v>8.2945070999999995E-2</c:v>
                </c:pt>
                <c:pt idx="13">
                  <c:v>0.21631740900000002</c:v>
                </c:pt>
                <c:pt idx="14">
                  <c:v>0.21420293400000001</c:v>
                </c:pt>
                <c:pt idx="15">
                  <c:v>0.17996388300000005</c:v>
                </c:pt>
                <c:pt idx="16">
                  <c:v>0.16543253099999999</c:v>
                </c:pt>
                <c:pt idx="17">
                  <c:v>0.29046507600000004</c:v>
                </c:pt>
                <c:pt idx="18">
                  <c:v>6.2881961999999972E-2</c:v>
                </c:pt>
                <c:pt idx="19">
                  <c:v>0.32453549700000006</c:v>
                </c:pt>
                <c:pt idx="20">
                  <c:v>0.24761160600000001</c:v>
                </c:pt>
                <c:pt idx="21">
                  <c:v>0.21516211200000002</c:v>
                </c:pt>
                <c:pt idx="22">
                  <c:v>0.26339890500000002</c:v>
                </c:pt>
                <c:pt idx="23">
                  <c:v>0.16194984300000001</c:v>
                </c:pt>
                <c:pt idx="24">
                  <c:v>0.236860668</c:v>
                </c:pt>
                <c:pt idx="25">
                  <c:v>0.260654196</c:v>
                </c:pt>
                <c:pt idx="26">
                  <c:v>0.29107296899999996</c:v>
                </c:pt>
                <c:pt idx="27">
                  <c:v>9.6196716000000043E-2</c:v>
                </c:pt>
                <c:pt idx="28">
                  <c:v>0.11070480299999999</c:v>
                </c:pt>
                <c:pt idx="29">
                  <c:v>4.5156572999999985E-2</c:v>
                </c:pt>
                <c:pt idx="30">
                  <c:v>0.346589166</c:v>
                </c:pt>
                <c:pt idx="31">
                  <c:v>0.204581289</c:v>
                </c:pt>
                <c:pt idx="32">
                  <c:v>0.28124556900000008</c:v>
                </c:pt>
                <c:pt idx="33">
                  <c:v>0.21673165800000002</c:v>
                </c:pt>
                <c:pt idx="34">
                  <c:v>0.26952004200000002</c:v>
                </c:pt>
                <c:pt idx="35">
                  <c:v>0.17858986199999999</c:v>
                </c:pt>
                <c:pt idx="36">
                  <c:v>0.41536925099999999</c:v>
                </c:pt>
                <c:pt idx="37">
                  <c:v>0.50861302800000008</c:v>
                </c:pt>
                <c:pt idx="38">
                  <c:v>0.23577212999999997</c:v>
                </c:pt>
                <c:pt idx="39">
                  <c:v>0.50762457900000002</c:v>
                </c:pt>
                <c:pt idx="40">
                  <c:v>0.35994264900000006</c:v>
                </c:pt>
                <c:pt idx="41">
                  <c:v>0.46924353299999999</c:v>
                </c:pt>
                <c:pt idx="42">
                  <c:v>0.35611488000000002</c:v>
                </c:pt>
                <c:pt idx="43">
                  <c:v>0.5589276660000001</c:v>
                </c:pt>
                <c:pt idx="44">
                  <c:v>0.55867416000000003</c:v>
                </c:pt>
                <c:pt idx="45">
                  <c:v>0.57033009000000001</c:v>
                </c:pt>
                <c:pt idx="46">
                  <c:v>0.41363622299999997</c:v>
                </c:pt>
                <c:pt idx="47">
                  <c:v>0.56207415000000005</c:v>
                </c:pt>
                <c:pt idx="48">
                  <c:v>0.55133057099999994</c:v>
                </c:pt>
                <c:pt idx="49">
                  <c:v>0.570855153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708944"/>
        <c:axId val="-96701328"/>
      </c:barChart>
      <c:catAx>
        <c:axId val="-96708944"/>
        <c:scaling>
          <c:orientation val="minMax"/>
        </c:scaling>
        <c:delete val="0"/>
        <c:axPos val="b"/>
        <c:title>
          <c:tx>
            <c:strRef>
              <c:f>dáta!$L$3</c:f>
              <c:strCache>
                <c:ptCount val="1"/>
                <c:pt idx="0">
                  <c:v>Intenzita svetla (lx):</c:v>
                </c:pt>
              </c:strCache>
            </c:strRef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k-SK"/>
          </a:p>
        </c:txPr>
        <c:crossAx val="-96701328"/>
        <c:crosses val="autoZero"/>
        <c:auto val="1"/>
        <c:lblAlgn val="ctr"/>
        <c:lblOffset val="100"/>
        <c:noMultiLvlLbl val="0"/>
      </c:catAx>
      <c:valAx>
        <c:axId val="-96701328"/>
        <c:scaling>
          <c:orientation val="minMax"/>
        </c:scaling>
        <c:delete val="0"/>
        <c:axPos val="l"/>
        <c:majorGridlines/>
        <c:title>
          <c:tx>
            <c:strRef>
              <c:f>dáta!$M$3</c:f>
              <c:strCache>
                <c:ptCount val="1"/>
                <c:pt idx="0">
                  <c:v>Možstvo tryskinu v plode (%):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sk-SK"/>
            </a:p>
          </c:txPr>
        </c:title>
        <c:numFmt formatCode="0%" sourceLinked="0"/>
        <c:majorTickMark val="out"/>
        <c:minorTickMark val="none"/>
        <c:tickLblPos val="nextTo"/>
        <c:crossAx val="-96708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vlhkosť!$C$24</c:f>
          <c:strCache>
            <c:ptCount val="1"/>
            <c:pt idx="0">
              <c:v>Vlhkosť pôdy pri zbere  plodov cyphomandry</c:v>
            </c:pt>
          </c:strCache>
        </c:strRef>
      </c:tx>
      <c:layout/>
      <c:overlay val="1"/>
      <c:txPr>
        <a:bodyPr/>
        <a:lstStyle/>
        <a:p>
          <a:pPr>
            <a:defRPr/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21193788276465444"/>
          <c:y val="0.21759259259259259"/>
          <c:w val="0.43888888888888894"/>
          <c:h val="0.73148148148148162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vlhkosť!$C$25:$C$29</c:f>
              <c:strCache>
                <c:ptCount val="5"/>
                <c:pt idx="0">
                  <c:v>menej ako 20%</c:v>
                </c:pt>
                <c:pt idx="1">
                  <c:v>od 20% do 40%</c:v>
                </c:pt>
                <c:pt idx="2">
                  <c:v>od 40% do 60%</c:v>
                </c:pt>
                <c:pt idx="3">
                  <c:v>od 60% do 80%</c:v>
                </c:pt>
                <c:pt idx="4">
                  <c:v>80% a viac</c:v>
                </c:pt>
              </c:strCache>
            </c:strRef>
          </c:cat>
          <c:val>
            <c:numRef>
              <c:f>vlhkosť!$D$25:$D$29</c:f>
              <c:numCache>
                <c:formatCode>General</c:formatCode>
                <c:ptCount val="5"/>
                <c:pt idx="0">
                  <c:v>10</c:v>
                </c:pt>
                <c:pt idx="1">
                  <c:v>12</c:v>
                </c:pt>
                <c:pt idx="2">
                  <c:v>9</c:v>
                </c:pt>
                <c:pt idx="3">
                  <c:v>12</c:v>
                </c:pt>
                <c:pt idx="4">
                  <c:v>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dáta!$P$2</c:f>
          <c:strCache>
            <c:ptCount val="1"/>
            <c:pt idx="0">
              <c:v>Vplyv vlhkosti pôdy na podiel tryskinu v plode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dáta!$P$4:$P$53</c:f>
              <c:numCache>
                <c:formatCode>0%</c:formatCode>
                <c:ptCount val="50"/>
                <c:pt idx="0">
                  <c:v>3.4099999999999998E-2</c:v>
                </c:pt>
                <c:pt idx="1">
                  <c:v>3.4099999999999998E-2</c:v>
                </c:pt>
                <c:pt idx="2">
                  <c:v>3.56E-2</c:v>
                </c:pt>
                <c:pt idx="3">
                  <c:v>5.96E-2</c:v>
                </c:pt>
                <c:pt idx="4">
                  <c:v>6.0999999999999999E-2</c:v>
                </c:pt>
                <c:pt idx="5">
                  <c:v>7.7399999999999997E-2</c:v>
                </c:pt>
                <c:pt idx="6">
                  <c:v>8.3900000000000002E-2</c:v>
                </c:pt>
                <c:pt idx="7">
                  <c:v>9.6600000000000005E-2</c:v>
                </c:pt>
                <c:pt idx="8">
                  <c:v>0.1295</c:v>
                </c:pt>
                <c:pt idx="9">
                  <c:v>0.1414</c:v>
                </c:pt>
                <c:pt idx="10">
                  <c:v>0.18140000000000001</c:v>
                </c:pt>
                <c:pt idx="11">
                  <c:v>0.20319999999999999</c:v>
                </c:pt>
                <c:pt idx="12">
                  <c:v>0.21490000000000001</c:v>
                </c:pt>
                <c:pt idx="13">
                  <c:v>0.2172</c:v>
                </c:pt>
                <c:pt idx="14">
                  <c:v>0.2331</c:v>
                </c:pt>
                <c:pt idx="15">
                  <c:v>0.26200000000000001</c:v>
                </c:pt>
                <c:pt idx="16">
                  <c:v>0.2777</c:v>
                </c:pt>
                <c:pt idx="17">
                  <c:v>0.2928</c:v>
                </c:pt>
                <c:pt idx="18">
                  <c:v>0.29509999999999997</c:v>
                </c:pt>
                <c:pt idx="19">
                  <c:v>0.29770000000000002</c:v>
                </c:pt>
                <c:pt idx="20">
                  <c:v>0.32469999999999999</c:v>
                </c:pt>
                <c:pt idx="21">
                  <c:v>0.34899999999999998</c:v>
                </c:pt>
                <c:pt idx="22">
                  <c:v>0.3906</c:v>
                </c:pt>
                <c:pt idx="23">
                  <c:v>0.4027</c:v>
                </c:pt>
                <c:pt idx="24">
                  <c:v>0.42630000000000001</c:v>
                </c:pt>
                <c:pt idx="25">
                  <c:v>0.44940000000000002</c:v>
                </c:pt>
                <c:pt idx="26">
                  <c:v>0.45450000000000002</c:v>
                </c:pt>
                <c:pt idx="27">
                  <c:v>0.45619999999999999</c:v>
                </c:pt>
                <c:pt idx="28">
                  <c:v>0.46605399999999997</c:v>
                </c:pt>
                <c:pt idx="29">
                  <c:v>0.52890000000000004</c:v>
                </c:pt>
                <c:pt idx="30">
                  <c:v>0.54590000000000005</c:v>
                </c:pt>
                <c:pt idx="31">
                  <c:v>0.56489999999999996</c:v>
                </c:pt>
                <c:pt idx="32">
                  <c:v>0.57089999999999996</c:v>
                </c:pt>
                <c:pt idx="33">
                  <c:v>0.63170000000000004</c:v>
                </c:pt>
                <c:pt idx="34">
                  <c:v>0.64680000000000004</c:v>
                </c:pt>
                <c:pt idx="35">
                  <c:v>0.65539999999999998</c:v>
                </c:pt>
                <c:pt idx="36">
                  <c:v>0.69410000000000005</c:v>
                </c:pt>
                <c:pt idx="37">
                  <c:v>0.72819999999999996</c:v>
                </c:pt>
                <c:pt idx="38">
                  <c:v>0.73499999999999999</c:v>
                </c:pt>
                <c:pt idx="39">
                  <c:v>0.74580000000000002</c:v>
                </c:pt>
                <c:pt idx="40">
                  <c:v>0.75429999999999997</c:v>
                </c:pt>
                <c:pt idx="41">
                  <c:v>0.76629999999999998</c:v>
                </c:pt>
                <c:pt idx="42">
                  <c:v>0.77149999999999996</c:v>
                </c:pt>
                <c:pt idx="43">
                  <c:v>0.77270000000000005</c:v>
                </c:pt>
                <c:pt idx="44">
                  <c:v>0.77510000000000001</c:v>
                </c:pt>
                <c:pt idx="45">
                  <c:v>0.80610000000000004</c:v>
                </c:pt>
                <c:pt idx="46">
                  <c:v>0.80869999999999997</c:v>
                </c:pt>
                <c:pt idx="47">
                  <c:v>0.82489999999999997</c:v>
                </c:pt>
                <c:pt idx="48">
                  <c:v>0.86799999999999999</c:v>
                </c:pt>
                <c:pt idx="49">
                  <c:v>0.87760000000000005</c:v>
                </c:pt>
              </c:numCache>
            </c:numRef>
          </c:cat>
          <c:val>
            <c:numRef>
              <c:f>dáta!$Q$4:$Q$53</c:f>
              <c:numCache>
                <c:formatCode>0.00</c:formatCode>
                <c:ptCount val="50"/>
                <c:pt idx="0">
                  <c:v>9.6196716000000043E-2</c:v>
                </c:pt>
                <c:pt idx="1">
                  <c:v>9.6196716000000043E-2</c:v>
                </c:pt>
                <c:pt idx="2">
                  <c:v>0.17996388300000005</c:v>
                </c:pt>
                <c:pt idx="3">
                  <c:v>0.41536925099999999</c:v>
                </c:pt>
                <c:pt idx="4">
                  <c:v>0.21673165800000002</c:v>
                </c:pt>
                <c:pt idx="5">
                  <c:v>0.26339890500000002</c:v>
                </c:pt>
                <c:pt idx="6">
                  <c:v>0.21516211200000002</c:v>
                </c:pt>
                <c:pt idx="7">
                  <c:v>0.57033009000000001</c:v>
                </c:pt>
                <c:pt idx="8">
                  <c:v>0.29107296899999996</c:v>
                </c:pt>
                <c:pt idx="9">
                  <c:v>0.55867416000000003</c:v>
                </c:pt>
                <c:pt idx="10">
                  <c:v>0.24761160600000001</c:v>
                </c:pt>
                <c:pt idx="11">
                  <c:v>4.4553399000000007E-2</c:v>
                </c:pt>
                <c:pt idx="12">
                  <c:v>3.3018348000000031E-2</c:v>
                </c:pt>
                <c:pt idx="13">
                  <c:v>0.11070480299999999</c:v>
                </c:pt>
                <c:pt idx="14">
                  <c:v>0.21122468400000002</c:v>
                </c:pt>
                <c:pt idx="15">
                  <c:v>0.21420293400000001</c:v>
                </c:pt>
                <c:pt idx="16">
                  <c:v>0.16194984300000001</c:v>
                </c:pt>
                <c:pt idx="17">
                  <c:v>0.16543253099999999</c:v>
                </c:pt>
                <c:pt idx="18">
                  <c:v>0.26952004200000002</c:v>
                </c:pt>
                <c:pt idx="19">
                  <c:v>0.13489657499999999</c:v>
                </c:pt>
                <c:pt idx="20">
                  <c:v>0.570855153</c:v>
                </c:pt>
                <c:pt idx="21">
                  <c:v>0.13737329100000001</c:v>
                </c:pt>
                <c:pt idx="22">
                  <c:v>0.50762457900000002</c:v>
                </c:pt>
                <c:pt idx="23">
                  <c:v>0.204581289</c:v>
                </c:pt>
                <c:pt idx="24">
                  <c:v>0.171613134</c:v>
                </c:pt>
                <c:pt idx="25">
                  <c:v>3.7304849999999943E-3</c:v>
                </c:pt>
                <c:pt idx="26">
                  <c:v>0.118807656</c:v>
                </c:pt>
                <c:pt idx="27">
                  <c:v>0.35611488000000002</c:v>
                </c:pt>
                <c:pt idx="28">
                  <c:v>0.26194338059999994</c:v>
                </c:pt>
                <c:pt idx="29">
                  <c:v>6.2881961999999972E-2</c:v>
                </c:pt>
                <c:pt idx="30">
                  <c:v>0.46924353299999999</c:v>
                </c:pt>
                <c:pt idx="31">
                  <c:v>0.236860668</c:v>
                </c:pt>
                <c:pt idx="32">
                  <c:v>0.28124556900000008</c:v>
                </c:pt>
                <c:pt idx="33">
                  <c:v>0.346589166</c:v>
                </c:pt>
                <c:pt idx="34">
                  <c:v>0.56207415000000005</c:v>
                </c:pt>
                <c:pt idx="35">
                  <c:v>0.12252500699999999</c:v>
                </c:pt>
                <c:pt idx="36">
                  <c:v>0.260654196</c:v>
                </c:pt>
                <c:pt idx="37">
                  <c:v>0.29046507600000004</c:v>
                </c:pt>
                <c:pt idx="38">
                  <c:v>0.22978101300000003</c:v>
                </c:pt>
                <c:pt idx="39">
                  <c:v>0.23577212999999997</c:v>
                </c:pt>
                <c:pt idx="40">
                  <c:v>0.227704884</c:v>
                </c:pt>
                <c:pt idx="41">
                  <c:v>0.5589276660000001</c:v>
                </c:pt>
                <c:pt idx="42">
                  <c:v>0.35994264900000006</c:v>
                </c:pt>
                <c:pt idx="43">
                  <c:v>0.17858986199999999</c:v>
                </c:pt>
                <c:pt idx="44">
                  <c:v>4.5156572999999985E-2</c:v>
                </c:pt>
                <c:pt idx="45">
                  <c:v>0.41363622299999997</c:v>
                </c:pt>
                <c:pt idx="46">
                  <c:v>6.0662151000000032E-2</c:v>
                </c:pt>
                <c:pt idx="47">
                  <c:v>0.32453549700000006</c:v>
                </c:pt>
                <c:pt idx="48">
                  <c:v>0.50861302800000008</c:v>
                </c:pt>
                <c:pt idx="49">
                  <c:v>0.55133057099999994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8220464"/>
        <c:axId val="-2138224272"/>
      </c:barChart>
      <c:catAx>
        <c:axId val="-2138220464"/>
        <c:scaling>
          <c:orientation val="minMax"/>
        </c:scaling>
        <c:delete val="0"/>
        <c:axPos val="b"/>
        <c:title>
          <c:tx>
            <c:strRef>
              <c:f>dáta!$P$3</c:f>
              <c:strCache>
                <c:ptCount val="1"/>
                <c:pt idx="0">
                  <c:v>Vlhkosť pôdy v hĺbke 10 cm (%):</c:v>
                </c:pt>
              </c:strCache>
            </c:strRef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k-SK"/>
          </a:p>
        </c:txPr>
        <c:crossAx val="-2138224272"/>
        <c:crosses val="autoZero"/>
        <c:auto val="1"/>
        <c:lblAlgn val="ctr"/>
        <c:lblOffset val="100"/>
        <c:noMultiLvlLbl val="0"/>
      </c:catAx>
      <c:valAx>
        <c:axId val="-2138224272"/>
        <c:scaling>
          <c:orientation val="minMax"/>
        </c:scaling>
        <c:delete val="0"/>
        <c:axPos val="l"/>
        <c:majorGridlines/>
        <c:title>
          <c:tx>
            <c:strRef>
              <c:f>dáta!$Q$3</c:f>
              <c:strCache>
                <c:ptCount val="1"/>
                <c:pt idx="0">
                  <c:v>Možstvo tryskinu v plode (%):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sk-SK"/>
            </a:p>
          </c:txPr>
        </c:title>
        <c:numFmt formatCode="0%" sourceLinked="0"/>
        <c:majorTickMark val="out"/>
        <c:minorTickMark val="none"/>
        <c:tickLblPos val="nextTo"/>
        <c:crossAx val="-2138220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dáta!$N$2</c:f>
          <c:strCache>
            <c:ptCount val="1"/>
            <c:pt idx="0">
              <c:v>Vplyv teploty na podiel tryskinu v plode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dáta!$N$4:$N$53</c:f>
              <c:numCache>
                <c:formatCode>0</c:formatCode>
                <c:ptCount val="50"/>
                <c:pt idx="0">
                  <c:v>-9.6</c:v>
                </c:pt>
                <c:pt idx="1">
                  <c:v>-9.6</c:v>
                </c:pt>
                <c:pt idx="2">
                  <c:v>-9.52</c:v>
                </c:pt>
                <c:pt idx="3">
                  <c:v>-8.81</c:v>
                </c:pt>
                <c:pt idx="4">
                  <c:v>-8.74</c:v>
                </c:pt>
                <c:pt idx="5">
                  <c:v>-8.4600000000000009</c:v>
                </c:pt>
                <c:pt idx="6">
                  <c:v>-6.75</c:v>
                </c:pt>
                <c:pt idx="7">
                  <c:v>-5.08</c:v>
                </c:pt>
                <c:pt idx="8">
                  <c:v>-2.69</c:v>
                </c:pt>
                <c:pt idx="9">
                  <c:v>-0.13</c:v>
                </c:pt>
                <c:pt idx="10">
                  <c:v>0.39</c:v>
                </c:pt>
                <c:pt idx="11">
                  <c:v>0.75</c:v>
                </c:pt>
                <c:pt idx="12">
                  <c:v>1.88</c:v>
                </c:pt>
                <c:pt idx="13">
                  <c:v>2.48</c:v>
                </c:pt>
                <c:pt idx="14">
                  <c:v>2.95</c:v>
                </c:pt>
                <c:pt idx="15">
                  <c:v>3.17</c:v>
                </c:pt>
                <c:pt idx="16">
                  <c:v>5.56</c:v>
                </c:pt>
                <c:pt idx="17">
                  <c:v>5.61</c:v>
                </c:pt>
                <c:pt idx="18">
                  <c:v>6.28</c:v>
                </c:pt>
                <c:pt idx="19">
                  <c:v>8.43</c:v>
                </c:pt>
                <c:pt idx="20">
                  <c:v>8.4700000000000006</c:v>
                </c:pt>
                <c:pt idx="21">
                  <c:v>9</c:v>
                </c:pt>
                <c:pt idx="22">
                  <c:v>9.09</c:v>
                </c:pt>
                <c:pt idx="23">
                  <c:v>9.18</c:v>
                </c:pt>
                <c:pt idx="24">
                  <c:v>10.34</c:v>
                </c:pt>
                <c:pt idx="25">
                  <c:v>10.65</c:v>
                </c:pt>
                <c:pt idx="26">
                  <c:v>11.03</c:v>
                </c:pt>
                <c:pt idx="27">
                  <c:v>12.03</c:v>
                </c:pt>
                <c:pt idx="28">
                  <c:v>12.45</c:v>
                </c:pt>
                <c:pt idx="29">
                  <c:v>12.626799999999994</c:v>
                </c:pt>
                <c:pt idx="30">
                  <c:v>13.21</c:v>
                </c:pt>
                <c:pt idx="31">
                  <c:v>13.25</c:v>
                </c:pt>
                <c:pt idx="32">
                  <c:v>16.18</c:v>
                </c:pt>
                <c:pt idx="33">
                  <c:v>17.16</c:v>
                </c:pt>
                <c:pt idx="34">
                  <c:v>17.579999999999998</c:v>
                </c:pt>
                <c:pt idx="35">
                  <c:v>18.52</c:v>
                </c:pt>
                <c:pt idx="36">
                  <c:v>20.76</c:v>
                </c:pt>
                <c:pt idx="37">
                  <c:v>21.14</c:v>
                </c:pt>
                <c:pt idx="38">
                  <c:v>21.65</c:v>
                </c:pt>
                <c:pt idx="39">
                  <c:v>22.46</c:v>
                </c:pt>
                <c:pt idx="40">
                  <c:v>23.16</c:v>
                </c:pt>
                <c:pt idx="41">
                  <c:v>23.91</c:v>
                </c:pt>
                <c:pt idx="42">
                  <c:v>25.38</c:v>
                </c:pt>
                <c:pt idx="43">
                  <c:v>27.46</c:v>
                </c:pt>
                <c:pt idx="44">
                  <c:v>27.75</c:v>
                </c:pt>
                <c:pt idx="45">
                  <c:v>31.87</c:v>
                </c:pt>
                <c:pt idx="46">
                  <c:v>32.840000000000003</c:v>
                </c:pt>
                <c:pt idx="47">
                  <c:v>34.130000000000003</c:v>
                </c:pt>
                <c:pt idx="48">
                  <c:v>36.83</c:v>
                </c:pt>
                <c:pt idx="49">
                  <c:v>37.72</c:v>
                </c:pt>
              </c:numCache>
            </c:numRef>
          </c:cat>
          <c:val>
            <c:numRef>
              <c:f>dáta!$O$4:$O$53</c:f>
              <c:numCache>
                <c:formatCode>0.00</c:formatCode>
                <c:ptCount val="50"/>
                <c:pt idx="0">
                  <c:v>0.26339890500000002</c:v>
                </c:pt>
                <c:pt idx="1">
                  <c:v>0.26339890500000002</c:v>
                </c:pt>
                <c:pt idx="2">
                  <c:v>0.204581289</c:v>
                </c:pt>
                <c:pt idx="3">
                  <c:v>0.5589276660000001</c:v>
                </c:pt>
                <c:pt idx="4">
                  <c:v>0.12252500699999999</c:v>
                </c:pt>
                <c:pt idx="5">
                  <c:v>0.13489657499999999</c:v>
                </c:pt>
                <c:pt idx="6">
                  <c:v>0.35994264900000006</c:v>
                </c:pt>
                <c:pt idx="7">
                  <c:v>0.56207415000000005</c:v>
                </c:pt>
                <c:pt idx="8">
                  <c:v>0.11070480299999999</c:v>
                </c:pt>
                <c:pt idx="9">
                  <c:v>0.57033009000000001</c:v>
                </c:pt>
                <c:pt idx="10">
                  <c:v>0.46924353299999999</c:v>
                </c:pt>
                <c:pt idx="11">
                  <c:v>8.2945070999999995E-2</c:v>
                </c:pt>
                <c:pt idx="12">
                  <c:v>0.346589166</c:v>
                </c:pt>
                <c:pt idx="13">
                  <c:v>0.21122468400000002</c:v>
                </c:pt>
                <c:pt idx="14">
                  <c:v>0.17858986199999999</c:v>
                </c:pt>
                <c:pt idx="15">
                  <c:v>6.0662151000000032E-2</c:v>
                </c:pt>
                <c:pt idx="16">
                  <c:v>4.5156572999999985E-2</c:v>
                </c:pt>
                <c:pt idx="17">
                  <c:v>0.55867416000000003</c:v>
                </c:pt>
                <c:pt idx="18">
                  <c:v>0.171613134</c:v>
                </c:pt>
                <c:pt idx="19">
                  <c:v>0.227704884</c:v>
                </c:pt>
                <c:pt idx="20">
                  <c:v>9.6196716000000043E-2</c:v>
                </c:pt>
                <c:pt idx="21">
                  <c:v>0.55133057099999994</c:v>
                </c:pt>
                <c:pt idx="22">
                  <c:v>0.236860668</c:v>
                </c:pt>
                <c:pt idx="23">
                  <c:v>3.7304849999999943E-3</c:v>
                </c:pt>
                <c:pt idx="24">
                  <c:v>0.32453549700000006</c:v>
                </c:pt>
                <c:pt idx="25">
                  <c:v>6.2881961999999972E-2</c:v>
                </c:pt>
                <c:pt idx="26">
                  <c:v>0.21420293400000001</c:v>
                </c:pt>
                <c:pt idx="27">
                  <c:v>0.260654196</c:v>
                </c:pt>
                <c:pt idx="28">
                  <c:v>0.50762457900000002</c:v>
                </c:pt>
                <c:pt idx="29">
                  <c:v>0.26194338059999994</c:v>
                </c:pt>
                <c:pt idx="30">
                  <c:v>0.16543253099999999</c:v>
                </c:pt>
                <c:pt idx="31">
                  <c:v>0.570855153</c:v>
                </c:pt>
                <c:pt idx="32">
                  <c:v>0.22978101300000003</c:v>
                </c:pt>
                <c:pt idx="33">
                  <c:v>0.35611488000000002</c:v>
                </c:pt>
                <c:pt idx="34">
                  <c:v>3.3018348000000031E-2</c:v>
                </c:pt>
                <c:pt idx="35">
                  <c:v>0.29046507600000004</c:v>
                </c:pt>
                <c:pt idx="36">
                  <c:v>0.41363622299999997</c:v>
                </c:pt>
                <c:pt idx="37">
                  <c:v>0.118807656</c:v>
                </c:pt>
                <c:pt idx="38">
                  <c:v>0.13737329100000001</c:v>
                </c:pt>
                <c:pt idx="39">
                  <c:v>0.26952004200000002</c:v>
                </c:pt>
                <c:pt idx="40">
                  <c:v>0.50861302800000008</c:v>
                </c:pt>
                <c:pt idx="41">
                  <c:v>0.24761160600000001</c:v>
                </c:pt>
                <c:pt idx="42">
                  <c:v>0.28124556900000008</c:v>
                </c:pt>
                <c:pt idx="43">
                  <c:v>0.29107296899999996</c:v>
                </c:pt>
                <c:pt idx="44">
                  <c:v>0.23577212999999997</c:v>
                </c:pt>
                <c:pt idx="45">
                  <c:v>0.21516211200000002</c:v>
                </c:pt>
                <c:pt idx="46">
                  <c:v>0.21673165800000002</c:v>
                </c:pt>
                <c:pt idx="47">
                  <c:v>0.41536925099999999</c:v>
                </c:pt>
                <c:pt idx="48">
                  <c:v>0.17996388300000005</c:v>
                </c:pt>
                <c:pt idx="49">
                  <c:v>0.16194984300000001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706768"/>
        <c:axId val="-96711664"/>
      </c:barChart>
      <c:catAx>
        <c:axId val="-96706768"/>
        <c:scaling>
          <c:orientation val="minMax"/>
        </c:scaling>
        <c:delete val="0"/>
        <c:axPos val="b"/>
        <c:title>
          <c:tx>
            <c:strRef>
              <c:f>dáta!$N$3</c:f>
              <c:strCache>
                <c:ptCount val="1"/>
                <c:pt idx="0">
                  <c:v>Teplota nameraná v blizkosti (do 10 cm) zberaných plodov (°C):</c:v>
                </c:pt>
              </c:strCache>
            </c:strRef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k-SK"/>
          </a:p>
        </c:txPr>
        <c:crossAx val="-96711664"/>
        <c:crosses val="autoZero"/>
        <c:auto val="1"/>
        <c:lblAlgn val="ctr"/>
        <c:lblOffset val="100"/>
        <c:noMultiLvlLbl val="0"/>
      </c:catAx>
      <c:valAx>
        <c:axId val="-96711664"/>
        <c:scaling>
          <c:orientation val="minMax"/>
        </c:scaling>
        <c:delete val="0"/>
        <c:axPos val="l"/>
        <c:majorGridlines/>
        <c:title>
          <c:tx>
            <c:strRef>
              <c:f>dáta!$O$3</c:f>
              <c:strCache>
                <c:ptCount val="1"/>
                <c:pt idx="0">
                  <c:v>Možstvo tryskinu v plode (%):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sk-SK"/>
            </a:p>
          </c:txPr>
        </c:title>
        <c:numFmt formatCode="0%" sourceLinked="0"/>
        <c:majorTickMark val="out"/>
        <c:minorTickMark val="none"/>
        <c:tickLblPos val="nextTo"/>
        <c:crossAx val="-96706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dáta!$P$2</c:f>
          <c:strCache>
            <c:ptCount val="1"/>
            <c:pt idx="0">
              <c:v>Vplyv vlhkosti pôdy na podiel tryskinu v plode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dáta!$P$4:$P$53</c:f>
              <c:numCache>
                <c:formatCode>0%</c:formatCode>
                <c:ptCount val="50"/>
                <c:pt idx="0">
                  <c:v>3.4099999999999998E-2</c:v>
                </c:pt>
                <c:pt idx="1">
                  <c:v>3.4099999999999998E-2</c:v>
                </c:pt>
                <c:pt idx="2">
                  <c:v>3.56E-2</c:v>
                </c:pt>
                <c:pt idx="3">
                  <c:v>5.96E-2</c:v>
                </c:pt>
                <c:pt idx="4">
                  <c:v>6.0999999999999999E-2</c:v>
                </c:pt>
                <c:pt idx="5">
                  <c:v>7.7399999999999997E-2</c:v>
                </c:pt>
                <c:pt idx="6">
                  <c:v>8.3900000000000002E-2</c:v>
                </c:pt>
                <c:pt idx="7">
                  <c:v>9.6600000000000005E-2</c:v>
                </c:pt>
                <c:pt idx="8">
                  <c:v>0.1295</c:v>
                </c:pt>
                <c:pt idx="9">
                  <c:v>0.1414</c:v>
                </c:pt>
                <c:pt idx="10">
                  <c:v>0.18140000000000001</c:v>
                </c:pt>
                <c:pt idx="11">
                  <c:v>0.20319999999999999</c:v>
                </c:pt>
                <c:pt idx="12">
                  <c:v>0.21490000000000001</c:v>
                </c:pt>
                <c:pt idx="13">
                  <c:v>0.2172</c:v>
                </c:pt>
                <c:pt idx="14">
                  <c:v>0.2331</c:v>
                </c:pt>
                <c:pt idx="15">
                  <c:v>0.26200000000000001</c:v>
                </c:pt>
                <c:pt idx="16">
                  <c:v>0.2777</c:v>
                </c:pt>
                <c:pt idx="17">
                  <c:v>0.2928</c:v>
                </c:pt>
                <c:pt idx="18">
                  <c:v>0.29509999999999997</c:v>
                </c:pt>
                <c:pt idx="19">
                  <c:v>0.29770000000000002</c:v>
                </c:pt>
                <c:pt idx="20">
                  <c:v>0.32469999999999999</c:v>
                </c:pt>
                <c:pt idx="21">
                  <c:v>0.34899999999999998</c:v>
                </c:pt>
                <c:pt idx="22">
                  <c:v>0.3906</c:v>
                </c:pt>
                <c:pt idx="23">
                  <c:v>0.4027</c:v>
                </c:pt>
                <c:pt idx="24">
                  <c:v>0.42630000000000001</c:v>
                </c:pt>
                <c:pt idx="25">
                  <c:v>0.44940000000000002</c:v>
                </c:pt>
                <c:pt idx="26">
                  <c:v>0.45450000000000002</c:v>
                </c:pt>
                <c:pt idx="27">
                  <c:v>0.45619999999999999</c:v>
                </c:pt>
                <c:pt idx="28">
                  <c:v>0.46605399999999997</c:v>
                </c:pt>
                <c:pt idx="29">
                  <c:v>0.52890000000000004</c:v>
                </c:pt>
                <c:pt idx="30">
                  <c:v>0.54590000000000005</c:v>
                </c:pt>
                <c:pt idx="31">
                  <c:v>0.56489999999999996</c:v>
                </c:pt>
                <c:pt idx="32">
                  <c:v>0.57089999999999996</c:v>
                </c:pt>
                <c:pt idx="33">
                  <c:v>0.63170000000000004</c:v>
                </c:pt>
                <c:pt idx="34">
                  <c:v>0.64680000000000004</c:v>
                </c:pt>
                <c:pt idx="35">
                  <c:v>0.65539999999999998</c:v>
                </c:pt>
                <c:pt idx="36">
                  <c:v>0.69410000000000005</c:v>
                </c:pt>
                <c:pt idx="37">
                  <c:v>0.72819999999999996</c:v>
                </c:pt>
                <c:pt idx="38">
                  <c:v>0.73499999999999999</c:v>
                </c:pt>
                <c:pt idx="39">
                  <c:v>0.74580000000000002</c:v>
                </c:pt>
                <c:pt idx="40">
                  <c:v>0.75429999999999997</c:v>
                </c:pt>
                <c:pt idx="41">
                  <c:v>0.76629999999999998</c:v>
                </c:pt>
                <c:pt idx="42">
                  <c:v>0.77149999999999996</c:v>
                </c:pt>
                <c:pt idx="43">
                  <c:v>0.77270000000000005</c:v>
                </c:pt>
                <c:pt idx="44">
                  <c:v>0.77510000000000001</c:v>
                </c:pt>
                <c:pt idx="45">
                  <c:v>0.80610000000000004</c:v>
                </c:pt>
                <c:pt idx="46">
                  <c:v>0.80869999999999997</c:v>
                </c:pt>
                <c:pt idx="47">
                  <c:v>0.82489999999999997</c:v>
                </c:pt>
                <c:pt idx="48">
                  <c:v>0.86799999999999999</c:v>
                </c:pt>
                <c:pt idx="49">
                  <c:v>0.87760000000000005</c:v>
                </c:pt>
              </c:numCache>
            </c:numRef>
          </c:cat>
          <c:val>
            <c:numRef>
              <c:f>dáta!$Q$4:$Q$53</c:f>
              <c:numCache>
                <c:formatCode>0.00</c:formatCode>
                <c:ptCount val="50"/>
                <c:pt idx="0">
                  <c:v>9.6196716000000043E-2</c:v>
                </c:pt>
                <c:pt idx="1">
                  <c:v>9.6196716000000043E-2</c:v>
                </c:pt>
                <c:pt idx="2">
                  <c:v>0.17996388300000005</c:v>
                </c:pt>
                <c:pt idx="3">
                  <c:v>0.41536925099999999</c:v>
                </c:pt>
                <c:pt idx="4">
                  <c:v>0.21673165800000002</c:v>
                </c:pt>
                <c:pt idx="5">
                  <c:v>0.26339890500000002</c:v>
                </c:pt>
                <c:pt idx="6">
                  <c:v>0.21516211200000002</c:v>
                </c:pt>
                <c:pt idx="7">
                  <c:v>0.57033009000000001</c:v>
                </c:pt>
                <c:pt idx="8">
                  <c:v>0.29107296899999996</c:v>
                </c:pt>
                <c:pt idx="9">
                  <c:v>0.55867416000000003</c:v>
                </c:pt>
                <c:pt idx="10">
                  <c:v>0.24761160600000001</c:v>
                </c:pt>
                <c:pt idx="11">
                  <c:v>4.4553399000000007E-2</c:v>
                </c:pt>
                <c:pt idx="12">
                  <c:v>3.3018348000000031E-2</c:v>
                </c:pt>
                <c:pt idx="13">
                  <c:v>0.11070480299999999</c:v>
                </c:pt>
                <c:pt idx="14">
                  <c:v>0.21122468400000002</c:v>
                </c:pt>
                <c:pt idx="15">
                  <c:v>0.21420293400000001</c:v>
                </c:pt>
                <c:pt idx="16">
                  <c:v>0.16194984300000001</c:v>
                </c:pt>
                <c:pt idx="17">
                  <c:v>0.16543253099999999</c:v>
                </c:pt>
                <c:pt idx="18">
                  <c:v>0.26952004200000002</c:v>
                </c:pt>
                <c:pt idx="19">
                  <c:v>0.13489657499999999</c:v>
                </c:pt>
                <c:pt idx="20">
                  <c:v>0.570855153</c:v>
                </c:pt>
                <c:pt idx="21">
                  <c:v>0.13737329100000001</c:v>
                </c:pt>
                <c:pt idx="22">
                  <c:v>0.50762457900000002</c:v>
                </c:pt>
                <c:pt idx="23">
                  <c:v>0.204581289</c:v>
                </c:pt>
                <c:pt idx="24">
                  <c:v>0.171613134</c:v>
                </c:pt>
                <c:pt idx="25">
                  <c:v>3.7304849999999943E-3</c:v>
                </c:pt>
                <c:pt idx="26">
                  <c:v>0.118807656</c:v>
                </c:pt>
                <c:pt idx="27">
                  <c:v>0.35611488000000002</c:v>
                </c:pt>
                <c:pt idx="28">
                  <c:v>0.26194338059999994</c:v>
                </c:pt>
                <c:pt idx="29">
                  <c:v>6.2881961999999972E-2</c:v>
                </c:pt>
                <c:pt idx="30">
                  <c:v>0.46924353299999999</c:v>
                </c:pt>
                <c:pt idx="31">
                  <c:v>0.236860668</c:v>
                </c:pt>
                <c:pt idx="32">
                  <c:v>0.28124556900000008</c:v>
                </c:pt>
                <c:pt idx="33">
                  <c:v>0.346589166</c:v>
                </c:pt>
                <c:pt idx="34">
                  <c:v>0.56207415000000005</c:v>
                </c:pt>
                <c:pt idx="35">
                  <c:v>0.12252500699999999</c:v>
                </c:pt>
                <c:pt idx="36">
                  <c:v>0.260654196</c:v>
                </c:pt>
                <c:pt idx="37">
                  <c:v>0.29046507600000004</c:v>
                </c:pt>
                <c:pt idx="38">
                  <c:v>0.22978101300000003</c:v>
                </c:pt>
                <c:pt idx="39">
                  <c:v>0.23577212999999997</c:v>
                </c:pt>
                <c:pt idx="40">
                  <c:v>0.227704884</c:v>
                </c:pt>
                <c:pt idx="41">
                  <c:v>0.5589276660000001</c:v>
                </c:pt>
                <c:pt idx="42">
                  <c:v>0.35994264900000006</c:v>
                </c:pt>
                <c:pt idx="43">
                  <c:v>0.17858986199999999</c:v>
                </c:pt>
                <c:pt idx="44">
                  <c:v>4.5156572999999985E-2</c:v>
                </c:pt>
                <c:pt idx="45">
                  <c:v>0.41363622299999997</c:v>
                </c:pt>
                <c:pt idx="46">
                  <c:v>6.0662151000000032E-2</c:v>
                </c:pt>
                <c:pt idx="47">
                  <c:v>0.32453549700000006</c:v>
                </c:pt>
                <c:pt idx="48">
                  <c:v>0.50861302800000008</c:v>
                </c:pt>
                <c:pt idx="49">
                  <c:v>0.55133057099999994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698608"/>
        <c:axId val="-96704048"/>
      </c:barChart>
      <c:catAx>
        <c:axId val="-96698608"/>
        <c:scaling>
          <c:orientation val="minMax"/>
        </c:scaling>
        <c:delete val="0"/>
        <c:axPos val="b"/>
        <c:title>
          <c:tx>
            <c:strRef>
              <c:f>dáta!$P$3</c:f>
              <c:strCache>
                <c:ptCount val="1"/>
                <c:pt idx="0">
                  <c:v>Vlhkosť pôdy v hĺbke 10 cm (%):</c:v>
                </c:pt>
              </c:strCache>
            </c:strRef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k-SK"/>
          </a:p>
        </c:txPr>
        <c:crossAx val="-96704048"/>
        <c:crosses val="autoZero"/>
        <c:auto val="1"/>
        <c:lblAlgn val="ctr"/>
        <c:lblOffset val="100"/>
        <c:noMultiLvlLbl val="0"/>
      </c:catAx>
      <c:valAx>
        <c:axId val="-96704048"/>
        <c:scaling>
          <c:orientation val="minMax"/>
        </c:scaling>
        <c:delete val="0"/>
        <c:axPos val="l"/>
        <c:majorGridlines/>
        <c:title>
          <c:tx>
            <c:strRef>
              <c:f>dáta!$Q$3</c:f>
              <c:strCache>
                <c:ptCount val="1"/>
                <c:pt idx="0">
                  <c:v>Možstvo tryskinu v plode (%):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sk-SK"/>
            </a:p>
          </c:txPr>
        </c:title>
        <c:numFmt formatCode="0%" sourceLinked="0"/>
        <c:majorTickMark val="out"/>
        <c:minorTickMark val="none"/>
        <c:tickLblPos val="nextTo"/>
        <c:crossAx val="-96698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dáta!$R$2</c:f>
          <c:strCache>
            <c:ptCount val="1"/>
            <c:pt idx="0">
              <c:v>Vplyv pH pôdy na podiel tryskinu v plode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dáta!$R$4:$R$53</c:f>
              <c:numCache>
                <c:formatCode>0</c:formatCode>
                <c:ptCount val="50"/>
                <c:pt idx="0">
                  <c:v>2.0099999999999998</c:v>
                </c:pt>
                <c:pt idx="1">
                  <c:v>2.0099999999999998</c:v>
                </c:pt>
                <c:pt idx="2">
                  <c:v>2.0699999999999998</c:v>
                </c:pt>
                <c:pt idx="3">
                  <c:v>2.16</c:v>
                </c:pt>
                <c:pt idx="4">
                  <c:v>2.2599999999999998</c:v>
                </c:pt>
                <c:pt idx="5">
                  <c:v>2.38</c:v>
                </c:pt>
                <c:pt idx="6">
                  <c:v>2.4300000000000002</c:v>
                </c:pt>
                <c:pt idx="7">
                  <c:v>2.5499999999999998</c:v>
                </c:pt>
                <c:pt idx="8">
                  <c:v>3.18</c:v>
                </c:pt>
                <c:pt idx="9">
                  <c:v>3.29</c:v>
                </c:pt>
                <c:pt idx="10">
                  <c:v>3.64</c:v>
                </c:pt>
                <c:pt idx="11">
                  <c:v>3.9</c:v>
                </c:pt>
                <c:pt idx="12">
                  <c:v>4.05</c:v>
                </c:pt>
                <c:pt idx="13">
                  <c:v>4.1100000000000003</c:v>
                </c:pt>
                <c:pt idx="14">
                  <c:v>4.1100000000000003</c:v>
                </c:pt>
                <c:pt idx="15">
                  <c:v>4.3</c:v>
                </c:pt>
                <c:pt idx="16">
                  <c:v>4.34</c:v>
                </c:pt>
                <c:pt idx="17">
                  <c:v>4.3899999999999997</c:v>
                </c:pt>
                <c:pt idx="18">
                  <c:v>4.43</c:v>
                </c:pt>
                <c:pt idx="19">
                  <c:v>4.4800000000000004</c:v>
                </c:pt>
                <c:pt idx="20">
                  <c:v>4.79</c:v>
                </c:pt>
                <c:pt idx="21">
                  <c:v>4.84</c:v>
                </c:pt>
                <c:pt idx="22">
                  <c:v>4.88</c:v>
                </c:pt>
                <c:pt idx="23">
                  <c:v>4.8899999999999997</c:v>
                </c:pt>
                <c:pt idx="24">
                  <c:v>5.2</c:v>
                </c:pt>
                <c:pt idx="25">
                  <c:v>5.7580000000000018</c:v>
                </c:pt>
                <c:pt idx="26">
                  <c:v>5.81</c:v>
                </c:pt>
                <c:pt idx="27">
                  <c:v>5.84</c:v>
                </c:pt>
                <c:pt idx="28">
                  <c:v>6.17</c:v>
                </c:pt>
                <c:pt idx="29">
                  <c:v>6.28</c:v>
                </c:pt>
                <c:pt idx="30">
                  <c:v>6.39</c:v>
                </c:pt>
                <c:pt idx="31">
                  <c:v>6.55</c:v>
                </c:pt>
                <c:pt idx="32">
                  <c:v>6.67</c:v>
                </c:pt>
                <c:pt idx="33">
                  <c:v>6.73</c:v>
                </c:pt>
                <c:pt idx="34">
                  <c:v>6.79</c:v>
                </c:pt>
                <c:pt idx="35">
                  <c:v>6.86</c:v>
                </c:pt>
                <c:pt idx="36">
                  <c:v>7.03</c:v>
                </c:pt>
                <c:pt idx="37">
                  <c:v>7.12</c:v>
                </c:pt>
                <c:pt idx="38">
                  <c:v>7.12</c:v>
                </c:pt>
                <c:pt idx="39">
                  <c:v>7.99</c:v>
                </c:pt>
                <c:pt idx="40">
                  <c:v>8.0500000000000007</c:v>
                </c:pt>
                <c:pt idx="41">
                  <c:v>8.08</c:v>
                </c:pt>
                <c:pt idx="42">
                  <c:v>8.26</c:v>
                </c:pt>
                <c:pt idx="43">
                  <c:v>8.3699999999999992</c:v>
                </c:pt>
                <c:pt idx="44">
                  <c:v>8.5299999999999994</c:v>
                </c:pt>
                <c:pt idx="45">
                  <c:v>8.7100000000000009</c:v>
                </c:pt>
                <c:pt idx="46">
                  <c:v>8.8000000000000007</c:v>
                </c:pt>
                <c:pt idx="47">
                  <c:v>8.92</c:v>
                </c:pt>
                <c:pt idx="48">
                  <c:v>9.1999999999999993</c:v>
                </c:pt>
                <c:pt idx="49">
                  <c:v>9.39</c:v>
                </c:pt>
              </c:numCache>
            </c:numRef>
          </c:cat>
          <c:val>
            <c:numRef>
              <c:f>dáta!$S$4:$S$53</c:f>
              <c:numCache>
                <c:formatCode>0.00</c:formatCode>
                <c:ptCount val="50"/>
                <c:pt idx="0">
                  <c:v>0.5589276660000001</c:v>
                </c:pt>
                <c:pt idx="1">
                  <c:v>0.5589276660000001</c:v>
                </c:pt>
                <c:pt idx="2">
                  <c:v>0.50861302800000008</c:v>
                </c:pt>
                <c:pt idx="3">
                  <c:v>0.57033009000000001</c:v>
                </c:pt>
                <c:pt idx="4">
                  <c:v>0.55867416000000003</c:v>
                </c:pt>
                <c:pt idx="5">
                  <c:v>0.346589166</c:v>
                </c:pt>
                <c:pt idx="6">
                  <c:v>0.32453549700000006</c:v>
                </c:pt>
                <c:pt idx="7">
                  <c:v>0.50762457900000002</c:v>
                </c:pt>
                <c:pt idx="8">
                  <c:v>0.29046507600000004</c:v>
                </c:pt>
                <c:pt idx="9">
                  <c:v>0.56207415000000005</c:v>
                </c:pt>
                <c:pt idx="10">
                  <c:v>0.29107296899999996</c:v>
                </c:pt>
                <c:pt idx="11">
                  <c:v>0.46924353299999999</c:v>
                </c:pt>
                <c:pt idx="12">
                  <c:v>0.26339890500000002</c:v>
                </c:pt>
                <c:pt idx="13">
                  <c:v>0.55133057099999994</c:v>
                </c:pt>
                <c:pt idx="14">
                  <c:v>0.55133057099999994</c:v>
                </c:pt>
                <c:pt idx="15">
                  <c:v>0.41536925099999999</c:v>
                </c:pt>
                <c:pt idx="16">
                  <c:v>0.260654196</c:v>
                </c:pt>
                <c:pt idx="17">
                  <c:v>0.24761160600000001</c:v>
                </c:pt>
                <c:pt idx="18">
                  <c:v>0.22978101300000003</c:v>
                </c:pt>
                <c:pt idx="19">
                  <c:v>0.227704884</c:v>
                </c:pt>
                <c:pt idx="20">
                  <c:v>0.21631740900000002</c:v>
                </c:pt>
                <c:pt idx="21">
                  <c:v>0.236860668</c:v>
                </c:pt>
                <c:pt idx="22">
                  <c:v>0.21122468400000002</c:v>
                </c:pt>
                <c:pt idx="23">
                  <c:v>0.21420293400000001</c:v>
                </c:pt>
                <c:pt idx="24">
                  <c:v>0.21516211200000002</c:v>
                </c:pt>
                <c:pt idx="25">
                  <c:v>0.26194338059999994</c:v>
                </c:pt>
                <c:pt idx="26">
                  <c:v>0.17996388300000005</c:v>
                </c:pt>
                <c:pt idx="27">
                  <c:v>0.171613134</c:v>
                </c:pt>
                <c:pt idx="28">
                  <c:v>0.16543253099999999</c:v>
                </c:pt>
                <c:pt idx="29">
                  <c:v>0.35994264900000006</c:v>
                </c:pt>
                <c:pt idx="30">
                  <c:v>0.28124556900000008</c:v>
                </c:pt>
                <c:pt idx="31">
                  <c:v>0.16194984300000001</c:v>
                </c:pt>
                <c:pt idx="32">
                  <c:v>0.13737329100000001</c:v>
                </c:pt>
                <c:pt idx="33">
                  <c:v>0.13489657499999999</c:v>
                </c:pt>
                <c:pt idx="34">
                  <c:v>0.35611488000000002</c:v>
                </c:pt>
                <c:pt idx="35">
                  <c:v>0.41363622299999997</c:v>
                </c:pt>
                <c:pt idx="36">
                  <c:v>0.12252500699999999</c:v>
                </c:pt>
                <c:pt idx="37">
                  <c:v>0.26952004200000002</c:v>
                </c:pt>
                <c:pt idx="38">
                  <c:v>0.26952004200000002</c:v>
                </c:pt>
                <c:pt idx="39">
                  <c:v>8.2945070999999995E-2</c:v>
                </c:pt>
                <c:pt idx="40">
                  <c:v>0.11070480299999999</c:v>
                </c:pt>
                <c:pt idx="41">
                  <c:v>0.204581289</c:v>
                </c:pt>
                <c:pt idx="42">
                  <c:v>0.21673165800000002</c:v>
                </c:pt>
                <c:pt idx="43">
                  <c:v>9.6196716000000043E-2</c:v>
                </c:pt>
                <c:pt idx="44">
                  <c:v>6.0662151000000032E-2</c:v>
                </c:pt>
                <c:pt idx="45">
                  <c:v>6.2881961999999972E-2</c:v>
                </c:pt>
                <c:pt idx="46">
                  <c:v>0.23577212999999997</c:v>
                </c:pt>
                <c:pt idx="47">
                  <c:v>4.4553399000000007E-2</c:v>
                </c:pt>
                <c:pt idx="48">
                  <c:v>3.3018348000000031E-2</c:v>
                </c:pt>
                <c:pt idx="49">
                  <c:v>0.17858986199999999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712208"/>
        <c:axId val="-96711120"/>
      </c:barChart>
      <c:catAx>
        <c:axId val="-96712208"/>
        <c:scaling>
          <c:orientation val="minMax"/>
        </c:scaling>
        <c:delete val="0"/>
        <c:axPos val="b"/>
        <c:title>
          <c:tx>
            <c:strRef>
              <c:f>dáta!$R$3</c:f>
              <c:strCache>
                <c:ptCount val="1"/>
                <c:pt idx="0">
                  <c:v>pH pôdy:</c:v>
                </c:pt>
              </c:strCache>
            </c:strRef>
          </c:tx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k-SK"/>
          </a:p>
        </c:txPr>
        <c:crossAx val="-96711120"/>
        <c:crosses val="autoZero"/>
        <c:auto val="1"/>
        <c:lblAlgn val="ctr"/>
        <c:lblOffset val="100"/>
        <c:noMultiLvlLbl val="0"/>
      </c:catAx>
      <c:valAx>
        <c:axId val="-96711120"/>
        <c:scaling>
          <c:orientation val="minMax"/>
        </c:scaling>
        <c:delete val="0"/>
        <c:axPos val="l"/>
        <c:majorGridlines/>
        <c:title>
          <c:tx>
            <c:strRef>
              <c:f>dáta!$S$3</c:f>
              <c:strCache>
                <c:ptCount val="1"/>
                <c:pt idx="0">
                  <c:v>Možstvo tryskinu v plode (%):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sk-SK"/>
            </a:p>
          </c:txPr>
        </c:title>
        <c:numFmt formatCode="0%" sourceLinked="0"/>
        <c:majorTickMark val="out"/>
        <c:minorTickMark val="none"/>
        <c:tickLblPos val="nextTo"/>
        <c:crossAx val="-96712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dáta!$T$2</c:f>
          <c:strCache>
            <c:ptCount val="1"/>
            <c:pt idx="0">
              <c:v>Vplyv hmotnosti plodu na podiel tryskinu v plode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dáta!$T$4:$T$53</c:f>
              <c:numCache>
                <c:formatCode>0</c:formatCode>
                <c:ptCount val="50"/>
                <c:pt idx="0">
                  <c:v>6.43</c:v>
                </c:pt>
                <c:pt idx="1">
                  <c:v>6.43</c:v>
                </c:pt>
                <c:pt idx="2">
                  <c:v>6.71</c:v>
                </c:pt>
                <c:pt idx="3">
                  <c:v>7.5</c:v>
                </c:pt>
                <c:pt idx="4">
                  <c:v>8.25</c:v>
                </c:pt>
                <c:pt idx="5">
                  <c:v>8.64</c:v>
                </c:pt>
                <c:pt idx="6">
                  <c:v>9.09</c:v>
                </c:pt>
                <c:pt idx="7">
                  <c:v>10.57</c:v>
                </c:pt>
                <c:pt idx="8">
                  <c:v>11.17</c:v>
                </c:pt>
                <c:pt idx="9">
                  <c:v>11.51</c:v>
                </c:pt>
                <c:pt idx="10">
                  <c:v>11.97</c:v>
                </c:pt>
                <c:pt idx="11">
                  <c:v>12.83</c:v>
                </c:pt>
                <c:pt idx="12">
                  <c:v>13.46</c:v>
                </c:pt>
                <c:pt idx="13">
                  <c:v>14.01</c:v>
                </c:pt>
                <c:pt idx="14">
                  <c:v>15.88</c:v>
                </c:pt>
                <c:pt idx="15">
                  <c:v>17.09</c:v>
                </c:pt>
                <c:pt idx="16">
                  <c:v>18.71</c:v>
                </c:pt>
                <c:pt idx="17">
                  <c:v>19.12</c:v>
                </c:pt>
                <c:pt idx="18">
                  <c:v>20.09</c:v>
                </c:pt>
                <c:pt idx="19">
                  <c:v>20.18</c:v>
                </c:pt>
                <c:pt idx="20">
                  <c:v>21.11</c:v>
                </c:pt>
                <c:pt idx="21">
                  <c:v>21.4</c:v>
                </c:pt>
                <c:pt idx="22">
                  <c:v>21.85</c:v>
                </c:pt>
                <c:pt idx="23">
                  <c:v>23.13</c:v>
                </c:pt>
                <c:pt idx="24">
                  <c:v>23.48</c:v>
                </c:pt>
                <c:pt idx="25">
                  <c:v>25.53</c:v>
                </c:pt>
                <c:pt idx="26">
                  <c:v>25.6</c:v>
                </c:pt>
                <c:pt idx="27">
                  <c:v>25.923999999999999</c:v>
                </c:pt>
                <c:pt idx="28">
                  <c:v>26.76</c:v>
                </c:pt>
                <c:pt idx="29">
                  <c:v>27.01</c:v>
                </c:pt>
                <c:pt idx="30">
                  <c:v>29.05</c:v>
                </c:pt>
                <c:pt idx="31">
                  <c:v>30.63</c:v>
                </c:pt>
                <c:pt idx="32">
                  <c:v>31.5</c:v>
                </c:pt>
                <c:pt idx="33">
                  <c:v>32.020000000000003</c:v>
                </c:pt>
                <c:pt idx="34">
                  <c:v>32.39</c:v>
                </c:pt>
                <c:pt idx="35">
                  <c:v>32.76</c:v>
                </c:pt>
                <c:pt idx="36">
                  <c:v>33.44</c:v>
                </c:pt>
                <c:pt idx="37">
                  <c:v>33.69</c:v>
                </c:pt>
                <c:pt idx="38">
                  <c:v>34.76</c:v>
                </c:pt>
                <c:pt idx="39">
                  <c:v>34.869999999999997</c:v>
                </c:pt>
                <c:pt idx="40">
                  <c:v>34.97</c:v>
                </c:pt>
                <c:pt idx="41">
                  <c:v>38.83</c:v>
                </c:pt>
                <c:pt idx="42">
                  <c:v>39.22</c:v>
                </c:pt>
                <c:pt idx="43">
                  <c:v>40.020000000000003</c:v>
                </c:pt>
                <c:pt idx="44">
                  <c:v>42.32</c:v>
                </c:pt>
                <c:pt idx="45">
                  <c:v>42.78</c:v>
                </c:pt>
                <c:pt idx="46">
                  <c:v>42.94</c:v>
                </c:pt>
                <c:pt idx="47">
                  <c:v>43.05</c:v>
                </c:pt>
                <c:pt idx="48">
                  <c:v>44.12</c:v>
                </c:pt>
                <c:pt idx="49">
                  <c:v>46.27</c:v>
                </c:pt>
              </c:numCache>
            </c:numRef>
          </c:cat>
          <c:val>
            <c:numRef>
              <c:f>dáta!$U$4:$U$53</c:f>
              <c:numCache>
                <c:formatCode>0.00</c:formatCode>
                <c:ptCount val="50"/>
                <c:pt idx="0">
                  <c:v>6.0662151000000032E-2</c:v>
                </c:pt>
                <c:pt idx="1">
                  <c:v>6.0662151000000032E-2</c:v>
                </c:pt>
                <c:pt idx="2">
                  <c:v>0.16194984300000001</c:v>
                </c:pt>
                <c:pt idx="3">
                  <c:v>0.118807656</c:v>
                </c:pt>
                <c:pt idx="4">
                  <c:v>0.50762457900000002</c:v>
                </c:pt>
                <c:pt idx="5">
                  <c:v>0.41536925099999999</c:v>
                </c:pt>
                <c:pt idx="6">
                  <c:v>0.50861302800000008</c:v>
                </c:pt>
                <c:pt idx="7">
                  <c:v>0.570855153</c:v>
                </c:pt>
                <c:pt idx="8">
                  <c:v>0.236860668</c:v>
                </c:pt>
                <c:pt idx="9">
                  <c:v>0.35994264900000006</c:v>
                </c:pt>
                <c:pt idx="10">
                  <c:v>3.7304849999999943E-3</c:v>
                </c:pt>
                <c:pt idx="11">
                  <c:v>0.346589166</c:v>
                </c:pt>
                <c:pt idx="12">
                  <c:v>6.2881961999999972E-2</c:v>
                </c:pt>
                <c:pt idx="13">
                  <c:v>0.55133057099999994</c:v>
                </c:pt>
                <c:pt idx="14">
                  <c:v>0.17858986199999999</c:v>
                </c:pt>
                <c:pt idx="15">
                  <c:v>0.21420293400000001</c:v>
                </c:pt>
                <c:pt idx="16">
                  <c:v>0.5589276660000001</c:v>
                </c:pt>
                <c:pt idx="17">
                  <c:v>0.24761160600000001</c:v>
                </c:pt>
                <c:pt idx="18">
                  <c:v>0.28124556900000008</c:v>
                </c:pt>
                <c:pt idx="19">
                  <c:v>8.2945070999999995E-2</c:v>
                </c:pt>
                <c:pt idx="20">
                  <c:v>0.16543253099999999</c:v>
                </c:pt>
                <c:pt idx="21">
                  <c:v>0.21631740900000002</c:v>
                </c:pt>
                <c:pt idx="22">
                  <c:v>0.41363622299999997</c:v>
                </c:pt>
                <c:pt idx="23">
                  <c:v>0.23577212999999997</c:v>
                </c:pt>
                <c:pt idx="24">
                  <c:v>0.55867416000000003</c:v>
                </c:pt>
                <c:pt idx="25">
                  <c:v>0.171613134</c:v>
                </c:pt>
                <c:pt idx="26">
                  <c:v>0.21673165800000002</c:v>
                </c:pt>
                <c:pt idx="27">
                  <c:v>0.26194338059999994</c:v>
                </c:pt>
                <c:pt idx="28">
                  <c:v>0.227704884</c:v>
                </c:pt>
                <c:pt idx="29">
                  <c:v>0.204581289</c:v>
                </c:pt>
                <c:pt idx="30">
                  <c:v>0.260654196</c:v>
                </c:pt>
                <c:pt idx="31">
                  <c:v>4.5156572999999985E-2</c:v>
                </c:pt>
                <c:pt idx="32">
                  <c:v>0.13737329100000001</c:v>
                </c:pt>
                <c:pt idx="33">
                  <c:v>0.13489657499999999</c:v>
                </c:pt>
                <c:pt idx="34">
                  <c:v>0.26952004200000002</c:v>
                </c:pt>
                <c:pt idx="35">
                  <c:v>9.6196716000000043E-2</c:v>
                </c:pt>
                <c:pt idx="36">
                  <c:v>0.21122468400000002</c:v>
                </c:pt>
                <c:pt idx="37">
                  <c:v>0.56207415000000005</c:v>
                </c:pt>
                <c:pt idx="38">
                  <c:v>0.17996388300000005</c:v>
                </c:pt>
                <c:pt idx="39">
                  <c:v>0.12252500699999999</c:v>
                </c:pt>
                <c:pt idx="40">
                  <c:v>3.3018348000000031E-2</c:v>
                </c:pt>
                <c:pt idx="41">
                  <c:v>0.26339890500000002</c:v>
                </c:pt>
                <c:pt idx="42">
                  <c:v>0.21516211200000002</c:v>
                </c:pt>
                <c:pt idx="43">
                  <c:v>0.32453549700000006</c:v>
                </c:pt>
                <c:pt idx="44">
                  <c:v>4.4553399000000007E-2</c:v>
                </c:pt>
                <c:pt idx="45">
                  <c:v>0.11070480299999999</c:v>
                </c:pt>
                <c:pt idx="46">
                  <c:v>0.29046507600000004</c:v>
                </c:pt>
                <c:pt idx="47">
                  <c:v>0.46924353299999999</c:v>
                </c:pt>
                <c:pt idx="48">
                  <c:v>0.35611488000000002</c:v>
                </c:pt>
                <c:pt idx="49">
                  <c:v>0.29107296899999996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860016"/>
        <c:axId val="-96864912"/>
      </c:barChart>
      <c:catAx>
        <c:axId val="-96860016"/>
        <c:scaling>
          <c:orientation val="minMax"/>
        </c:scaling>
        <c:delete val="0"/>
        <c:axPos val="b"/>
        <c:title>
          <c:tx>
            <c:strRef>
              <c:f>dáta!$T$3</c:f>
              <c:strCache>
                <c:ptCount val="1"/>
                <c:pt idx="0">
                  <c:v>Hmotnosť plodu (g):</c:v>
                </c:pt>
              </c:strCache>
            </c:strRef>
          </c:tx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k-SK"/>
          </a:p>
        </c:txPr>
        <c:crossAx val="-96864912"/>
        <c:crosses val="autoZero"/>
        <c:auto val="1"/>
        <c:lblAlgn val="ctr"/>
        <c:lblOffset val="100"/>
        <c:noMultiLvlLbl val="0"/>
      </c:catAx>
      <c:valAx>
        <c:axId val="-96864912"/>
        <c:scaling>
          <c:orientation val="minMax"/>
        </c:scaling>
        <c:delete val="0"/>
        <c:axPos val="l"/>
        <c:majorGridlines/>
        <c:title>
          <c:tx>
            <c:strRef>
              <c:f>dáta!$U$3</c:f>
              <c:strCache>
                <c:ptCount val="1"/>
                <c:pt idx="0">
                  <c:v>Možstvo tryskinu v plode (%):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sk-SK"/>
            </a:p>
          </c:txPr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k-SK"/>
          </a:p>
        </c:txPr>
        <c:crossAx val="-96860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svetlo!$B$24</c:f>
          <c:strCache>
            <c:ptCount val="1"/>
            <c:pt idx="0">
              <c:v>Svetelné podmienky pri zbere plodov cyphomandry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dLbls>
            <c:numFmt formatCode="General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svetlo!$B$25:$B$27</c:f>
              <c:strCache>
                <c:ptCount val="3"/>
                <c:pt idx="0">
                  <c:v>jasný, slnečný deň, tieň</c:v>
                </c:pt>
                <c:pt idx="1">
                  <c:v>šero, súmrak</c:v>
                </c:pt>
                <c:pt idx="2">
                  <c:v>noc, šero, slabé osvetlenie</c:v>
                </c:pt>
              </c:strCache>
            </c:strRef>
          </c:cat>
          <c:val>
            <c:numRef>
              <c:f>svetlo!$E$25:$E$27</c:f>
              <c:numCache>
                <c:formatCode>General</c:formatCode>
                <c:ptCount val="3"/>
                <c:pt idx="0">
                  <c:v>19</c:v>
                </c:pt>
                <c:pt idx="1">
                  <c:v>18</c:v>
                </c:pt>
                <c:pt idx="2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dáta!$L$2</c:f>
          <c:strCache>
            <c:ptCount val="1"/>
            <c:pt idx="0">
              <c:v>Vplyv intenzity svetla na podiel tryskinu v plode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dáta!$L$4:$L$53</c:f>
              <c:numCache>
                <c:formatCode>0</c:formatCode>
                <c:ptCount val="50"/>
                <c:pt idx="0">
                  <c:v>1.03</c:v>
                </c:pt>
                <c:pt idx="1">
                  <c:v>1.48</c:v>
                </c:pt>
                <c:pt idx="2">
                  <c:v>2.3199999999999998</c:v>
                </c:pt>
                <c:pt idx="3">
                  <c:v>2.75</c:v>
                </c:pt>
                <c:pt idx="4">
                  <c:v>3.27</c:v>
                </c:pt>
                <c:pt idx="5">
                  <c:v>3.79</c:v>
                </c:pt>
                <c:pt idx="6">
                  <c:v>3.98</c:v>
                </c:pt>
                <c:pt idx="7">
                  <c:v>5.45</c:v>
                </c:pt>
                <c:pt idx="8">
                  <c:v>5.56</c:v>
                </c:pt>
                <c:pt idx="9">
                  <c:v>5.61</c:v>
                </c:pt>
                <c:pt idx="10">
                  <c:v>7.47</c:v>
                </c:pt>
                <c:pt idx="11">
                  <c:v>7.48</c:v>
                </c:pt>
                <c:pt idx="12">
                  <c:v>9.8699999999999992</c:v>
                </c:pt>
                <c:pt idx="13">
                  <c:v>425.73</c:v>
                </c:pt>
                <c:pt idx="14">
                  <c:v>1034.98</c:v>
                </c:pt>
                <c:pt idx="15">
                  <c:v>2159.5100000000002</c:v>
                </c:pt>
                <c:pt idx="16">
                  <c:v>2256.0700000000002</c:v>
                </c:pt>
                <c:pt idx="17">
                  <c:v>2769.72</c:v>
                </c:pt>
                <c:pt idx="18">
                  <c:v>2930.14</c:v>
                </c:pt>
                <c:pt idx="19">
                  <c:v>3719.09</c:v>
                </c:pt>
                <c:pt idx="20">
                  <c:v>4908.82</c:v>
                </c:pt>
                <c:pt idx="21">
                  <c:v>5200.6400000000003</c:v>
                </c:pt>
                <c:pt idx="22">
                  <c:v>5442.85</c:v>
                </c:pt>
                <c:pt idx="23">
                  <c:v>5950.71</c:v>
                </c:pt>
                <c:pt idx="24">
                  <c:v>7275.96</c:v>
                </c:pt>
                <c:pt idx="25">
                  <c:v>8236.1200000000008</c:v>
                </c:pt>
                <c:pt idx="26">
                  <c:v>8703.93</c:v>
                </c:pt>
                <c:pt idx="27">
                  <c:v>8775.52</c:v>
                </c:pt>
                <c:pt idx="28">
                  <c:v>9171.91</c:v>
                </c:pt>
                <c:pt idx="29">
                  <c:v>9308.81</c:v>
                </c:pt>
                <c:pt idx="30">
                  <c:v>9777.02</c:v>
                </c:pt>
                <c:pt idx="31">
                  <c:v>37994.33</c:v>
                </c:pt>
                <c:pt idx="32">
                  <c:v>40100.93</c:v>
                </c:pt>
                <c:pt idx="33">
                  <c:v>43926.26</c:v>
                </c:pt>
                <c:pt idx="34">
                  <c:v>45672.74</c:v>
                </c:pt>
                <c:pt idx="35">
                  <c:v>46493.14</c:v>
                </c:pt>
                <c:pt idx="36">
                  <c:v>54619.47</c:v>
                </c:pt>
                <c:pt idx="37">
                  <c:v>55000.160000000003</c:v>
                </c:pt>
                <c:pt idx="38">
                  <c:v>56446.1</c:v>
                </c:pt>
                <c:pt idx="39">
                  <c:v>60700.63</c:v>
                </c:pt>
                <c:pt idx="40">
                  <c:v>62573.53</c:v>
                </c:pt>
                <c:pt idx="41">
                  <c:v>65945.009999999995</c:v>
                </c:pt>
                <c:pt idx="42">
                  <c:v>67788.600000000006</c:v>
                </c:pt>
                <c:pt idx="43">
                  <c:v>69497.02</c:v>
                </c:pt>
                <c:pt idx="44">
                  <c:v>72545.2</c:v>
                </c:pt>
                <c:pt idx="45">
                  <c:v>74827.3</c:v>
                </c:pt>
                <c:pt idx="46">
                  <c:v>86094.31</c:v>
                </c:pt>
                <c:pt idx="47">
                  <c:v>86450.5</c:v>
                </c:pt>
                <c:pt idx="48">
                  <c:v>93444.87</c:v>
                </c:pt>
                <c:pt idx="49">
                  <c:v>99361.41</c:v>
                </c:pt>
              </c:numCache>
            </c:numRef>
          </c:cat>
          <c:val>
            <c:numRef>
              <c:f>dáta!$M$4:$M$53</c:f>
              <c:numCache>
                <c:formatCode>0.00</c:formatCode>
                <c:ptCount val="50"/>
                <c:pt idx="0">
                  <c:v>4.4553399000000007E-2</c:v>
                </c:pt>
                <c:pt idx="1">
                  <c:v>0.227704884</c:v>
                </c:pt>
                <c:pt idx="2">
                  <c:v>0.118807656</c:v>
                </c:pt>
                <c:pt idx="3">
                  <c:v>0.13489657499999999</c:v>
                </c:pt>
                <c:pt idx="4">
                  <c:v>0.13737329100000001</c:v>
                </c:pt>
                <c:pt idx="5">
                  <c:v>0.12252500699999999</c:v>
                </c:pt>
                <c:pt idx="6">
                  <c:v>0.171613134</c:v>
                </c:pt>
                <c:pt idx="7">
                  <c:v>3.7304849999999943E-3</c:v>
                </c:pt>
                <c:pt idx="8">
                  <c:v>3.3018348000000031E-2</c:v>
                </c:pt>
                <c:pt idx="9">
                  <c:v>0.22978101300000003</c:v>
                </c:pt>
                <c:pt idx="10">
                  <c:v>6.0662151000000032E-2</c:v>
                </c:pt>
                <c:pt idx="11">
                  <c:v>0.21122468400000002</c:v>
                </c:pt>
                <c:pt idx="12">
                  <c:v>8.2945070999999995E-2</c:v>
                </c:pt>
                <c:pt idx="13">
                  <c:v>0.21631740900000002</c:v>
                </c:pt>
                <c:pt idx="14">
                  <c:v>0.21420293400000001</c:v>
                </c:pt>
                <c:pt idx="15">
                  <c:v>0.17996388300000005</c:v>
                </c:pt>
                <c:pt idx="16">
                  <c:v>0.16543253099999999</c:v>
                </c:pt>
                <c:pt idx="17">
                  <c:v>0.29046507600000004</c:v>
                </c:pt>
                <c:pt idx="18">
                  <c:v>6.2881961999999972E-2</c:v>
                </c:pt>
                <c:pt idx="19">
                  <c:v>0.32453549700000006</c:v>
                </c:pt>
                <c:pt idx="20">
                  <c:v>0.24761160600000001</c:v>
                </c:pt>
                <c:pt idx="21">
                  <c:v>0.21516211200000002</c:v>
                </c:pt>
                <c:pt idx="22">
                  <c:v>0.26339890500000002</c:v>
                </c:pt>
                <c:pt idx="23">
                  <c:v>0.16194984300000001</c:v>
                </c:pt>
                <c:pt idx="24">
                  <c:v>0.236860668</c:v>
                </c:pt>
                <c:pt idx="25">
                  <c:v>0.260654196</c:v>
                </c:pt>
                <c:pt idx="26">
                  <c:v>0.29107296899999996</c:v>
                </c:pt>
                <c:pt idx="27">
                  <c:v>9.6196716000000043E-2</c:v>
                </c:pt>
                <c:pt idx="28">
                  <c:v>0.11070480299999999</c:v>
                </c:pt>
                <c:pt idx="29">
                  <c:v>4.5156572999999985E-2</c:v>
                </c:pt>
                <c:pt idx="30">
                  <c:v>0.346589166</c:v>
                </c:pt>
                <c:pt idx="31">
                  <c:v>0.204581289</c:v>
                </c:pt>
                <c:pt idx="32">
                  <c:v>0.28124556900000008</c:v>
                </c:pt>
                <c:pt idx="33">
                  <c:v>0.21673165800000002</c:v>
                </c:pt>
                <c:pt idx="34">
                  <c:v>0.26952004200000002</c:v>
                </c:pt>
                <c:pt idx="35">
                  <c:v>0.17858986199999999</c:v>
                </c:pt>
                <c:pt idx="36">
                  <c:v>0.41536925099999999</c:v>
                </c:pt>
                <c:pt idx="37">
                  <c:v>0.50861302800000008</c:v>
                </c:pt>
                <c:pt idx="38">
                  <c:v>0.23577212999999997</c:v>
                </c:pt>
                <c:pt idx="39">
                  <c:v>0.50762457900000002</c:v>
                </c:pt>
                <c:pt idx="40">
                  <c:v>0.35994264900000006</c:v>
                </c:pt>
                <c:pt idx="41">
                  <c:v>0.46924353299999999</c:v>
                </c:pt>
                <c:pt idx="42">
                  <c:v>0.35611488000000002</c:v>
                </c:pt>
                <c:pt idx="43">
                  <c:v>0.5589276660000001</c:v>
                </c:pt>
                <c:pt idx="44">
                  <c:v>0.55867416000000003</c:v>
                </c:pt>
                <c:pt idx="45">
                  <c:v>0.57033009000000001</c:v>
                </c:pt>
                <c:pt idx="46">
                  <c:v>0.41363622299999997</c:v>
                </c:pt>
                <c:pt idx="47">
                  <c:v>0.56207415000000005</c:v>
                </c:pt>
                <c:pt idx="48">
                  <c:v>0.55133057099999994</c:v>
                </c:pt>
                <c:pt idx="49">
                  <c:v>0.570855153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8226992"/>
        <c:axId val="-2138222096"/>
      </c:barChart>
      <c:catAx>
        <c:axId val="-2138226992"/>
        <c:scaling>
          <c:orientation val="minMax"/>
        </c:scaling>
        <c:delete val="0"/>
        <c:axPos val="b"/>
        <c:title>
          <c:tx>
            <c:strRef>
              <c:f>dáta!$L$3</c:f>
              <c:strCache>
                <c:ptCount val="1"/>
                <c:pt idx="0">
                  <c:v>Intenzita svetla (lx):</c:v>
                </c:pt>
              </c:strCache>
            </c:strRef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k-SK"/>
          </a:p>
        </c:txPr>
        <c:crossAx val="-2138222096"/>
        <c:crosses val="autoZero"/>
        <c:auto val="1"/>
        <c:lblAlgn val="ctr"/>
        <c:lblOffset val="100"/>
        <c:noMultiLvlLbl val="0"/>
      </c:catAx>
      <c:valAx>
        <c:axId val="-2138222096"/>
        <c:scaling>
          <c:orientation val="minMax"/>
        </c:scaling>
        <c:delete val="0"/>
        <c:axPos val="l"/>
        <c:majorGridlines/>
        <c:title>
          <c:tx>
            <c:strRef>
              <c:f>dáta!$M$3</c:f>
              <c:strCache>
                <c:ptCount val="1"/>
                <c:pt idx="0">
                  <c:v>Možstvo tryskinu v plode (%):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sk-SK"/>
            </a:p>
          </c:txPr>
        </c:title>
        <c:numFmt formatCode="0%" sourceLinked="0"/>
        <c:majorTickMark val="out"/>
        <c:minorTickMark val="none"/>
        <c:tickLblPos val="nextTo"/>
        <c:crossAx val="-2138226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teplo!$B$24</c:f>
          <c:strCache>
            <c:ptCount val="1"/>
            <c:pt idx="0">
              <c:v>Tepelné podmienky pri zbere  plodov cyphomandry</c:v>
            </c:pt>
          </c:strCache>
        </c:strRef>
      </c:tx>
      <c:layout/>
      <c:overlay val="1"/>
      <c:txPr>
        <a:bodyPr/>
        <a:lstStyle/>
        <a:p>
          <a:pPr>
            <a:defRPr/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18762510936132984"/>
          <c:y val="0.2361111111111111"/>
          <c:w val="0.42777777777777776"/>
          <c:h val="0.71296296296296291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teplo!$B$25:$B$29</c:f>
              <c:strCache>
                <c:ptCount val="5"/>
                <c:pt idx="0">
                  <c:v>menej ako -5 stupňov</c:v>
                </c:pt>
                <c:pt idx="1">
                  <c:v>-5 až 0</c:v>
                </c:pt>
                <c:pt idx="2">
                  <c:v>0 až 5</c:v>
                </c:pt>
                <c:pt idx="3">
                  <c:v>5 až 15</c:v>
                </c:pt>
                <c:pt idx="4">
                  <c:v>15 a viac</c:v>
                </c:pt>
              </c:strCache>
            </c:strRef>
          </c:cat>
          <c:val>
            <c:numRef>
              <c:f>teplo!$C$25:$C$29</c:f>
              <c:numCache>
                <c:formatCode>General</c:formatCode>
                <c:ptCount val="5"/>
                <c:pt idx="0">
                  <c:v>7</c:v>
                </c:pt>
                <c:pt idx="1">
                  <c:v>2</c:v>
                </c:pt>
                <c:pt idx="2">
                  <c:v>6</c:v>
                </c:pt>
                <c:pt idx="3">
                  <c:v>15</c:v>
                </c:pt>
                <c:pt idx="4">
                  <c:v>20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dáta!$N$2</c:f>
          <c:strCache>
            <c:ptCount val="1"/>
            <c:pt idx="0">
              <c:v>Vplyv teploty na podiel tryskinu v plode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dáta!$N$4:$N$53</c:f>
              <c:numCache>
                <c:formatCode>0</c:formatCode>
                <c:ptCount val="50"/>
                <c:pt idx="0">
                  <c:v>-9.6</c:v>
                </c:pt>
                <c:pt idx="1">
                  <c:v>-9.6</c:v>
                </c:pt>
                <c:pt idx="2">
                  <c:v>-9.52</c:v>
                </c:pt>
                <c:pt idx="3">
                  <c:v>-8.81</c:v>
                </c:pt>
                <c:pt idx="4">
                  <c:v>-8.74</c:v>
                </c:pt>
                <c:pt idx="5">
                  <c:v>-8.4600000000000009</c:v>
                </c:pt>
                <c:pt idx="6">
                  <c:v>-6.75</c:v>
                </c:pt>
                <c:pt idx="7">
                  <c:v>-5.08</c:v>
                </c:pt>
                <c:pt idx="8">
                  <c:v>-2.69</c:v>
                </c:pt>
                <c:pt idx="9">
                  <c:v>-0.13</c:v>
                </c:pt>
                <c:pt idx="10">
                  <c:v>0.39</c:v>
                </c:pt>
                <c:pt idx="11">
                  <c:v>0.75</c:v>
                </c:pt>
                <c:pt idx="12">
                  <c:v>1.88</c:v>
                </c:pt>
                <c:pt idx="13">
                  <c:v>2.48</c:v>
                </c:pt>
                <c:pt idx="14">
                  <c:v>2.95</c:v>
                </c:pt>
                <c:pt idx="15">
                  <c:v>3.17</c:v>
                </c:pt>
                <c:pt idx="16">
                  <c:v>5.56</c:v>
                </c:pt>
                <c:pt idx="17">
                  <c:v>5.61</c:v>
                </c:pt>
                <c:pt idx="18">
                  <c:v>6.28</c:v>
                </c:pt>
                <c:pt idx="19">
                  <c:v>8.43</c:v>
                </c:pt>
                <c:pt idx="20">
                  <c:v>8.4700000000000006</c:v>
                </c:pt>
                <c:pt idx="21">
                  <c:v>9</c:v>
                </c:pt>
                <c:pt idx="22">
                  <c:v>9.09</c:v>
                </c:pt>
                <c:pt idx="23">
                  <c:v>9.18</c:v>
                </c:pt>
                <c:pt idx="24">
                  <c:v>10.34</c:v>
                </c:pt>
                <c:pt idx="25">
                  <c:v>10.65</c:v>
                </c:pt>
                <c:pt idx="26">
                  <c:v>11.03</c:v>
                </c:pt>
                <c:pt idx="27">
                  <c:v>12.03</c:v>
                </c:pt>
                <c:pt idx="28">
                  <c:v>12.45</c:v>
                </c:pt>
                <c:pt idx="29">
                  <c:v>12.626799999999994</c:v>
                </c:pt>
                <c:pt idx="30">
                  <c:v>13.21</c:v>
                </c:pt>
                <c:pt idx="31">
                  <c:v>13.25</c:v>
                </c:pt>
                <c:pt idx="32">
                  <c:v>16.18</c:v>
                </c:pt>
                <c:pt idx="33">
                  <c:v>17.16</c:v>
                </c:pt>
                <c:pt idx="34">
                  <c:v>17.579999999999998</c:v>
                </c:pt>
                <c:pt idx="35">
                  <c:v>18.52</c:v>
                </c:pt>
                <c:pt idx="36">
                  <c:v>20.76</c:v>
                </c:pt>
                <c:pt idx="37">
                  <c:v>21.14</c:v>
                </c:pt>
                <c:pt idx="38">
                  <c:v>21.65</c:v>
                </c:pt>
                <c:pt idx="39">
                  <c:v>22.46</c:v>
                </c:pt>
                <c:pt idx="40">
                  <c:v>23.16</c:v>
                </c:pt>
                <c:pt idx="41">
                  <c:v>23.91</c:v>
                </c:pt>
                <c:pt idx="42">
                  <c:v>25.38</c:v>
                </c:pt>
                <c:pt idx="43">
                  <c:v>27.46</c:v>
                </c:pt>
                <c:pt idx="44">
                  <c:v>27.75</c:v>
                </c:pt>
                <c:pt idx="45">
                  <c:v>31.87</c:v>
                </c:pt>
                <c:pt idx="46">
                  <c:v>32.840000000000003</c:v>
                </c:pt>
                <c:pt idx="47">
                  <c:v>34.130000000000003</c:v>
                </c:pt>
                <c:pt idx="48">
                  <c:v>36.83</c:v>
                </c:pt>
                <c:pt idx="49">
                  <c:v>37.72</c:v>
                </c:pt>
              </c:numCache>
            </c:numRef>
          </c:cat>
          <c:val>
            <c:numRef>
              <c:f>dáta!$O$4:$O$53</c:f>
              <c:numCache>
                <c:formatCode>0.00</c:formatCode>
                <c:ptCount val="50"/>
                <c:pt idx="0">
                  <c:v>0.26339890500000002</c:v>
                </c:pt>
                <c:pt idx="1">
                  <c:v>0.26339890500000002</c:v>
                </c:pt>
                <c:pt idx="2">
                  <c:v>0.204581289</c:v>
                </c:pt>
                <c:pt idx="3">
                  <c:v>0.5589276660000001</c:v>
                </c:pt>
                <c:pt idx="4">
                  <c:v>0.12252500699999999</c:v>
                </c:pt>
                <c:pt idx="5">
                  <c:v>0.13489657499999999</c:v>
                </c:pt>
                <c:pt idx="6">
                  <c:v>0.35994264900000006</c:v>
                </c:pt>
                <c:pt idx="7">
                  <c:v>0.56207415000000005</c:v>
                </c:pt>
                <c:pt idx="8">
                  <c:v>0.11070480299999999</c:v>
                </c:pt>
                <c:pt idx="9">
                  <c:v>0.57033009000000001</c:v>
                </c:pt>
                <c:pt idx="10">
                  <c:v>0.46924353299999999</c:v>
                </c:pt>
                <c:pt idx="11">
                  <c:v>8.2945070999999995E-2</c:v>
                </c:pt>
                <c:pt idx="12">
                  <c:v>0.346589166</c:v>
                </c:pt>
                <c:pt idx="13">
                  <c:v>0.21122468400000002</c:v>
                </c:pt>
                <c:pt idx="14">
                  <c:v>0.17858986199999999</c:v>
                </c:pt>
                <c:pt idx="15">
                  <c:v>6.0662151000000032E-2</c:v>
                </c:pt>
                <c:pt idx="16">
                  <c:v>4.5156572999999985E-2</c:v>
                </c:pt>
                <c:pt idx="17">
                  <c:v>0.55867416000000003</c:v>
                </c:pt>
                <c:pt idx="18">
                  <c:v>0.171613134</c:v>
                </c:pt>
                <c:pt idx="19">
                  <c:v>0.227704884</c:v>
                </c:pt>
                <c:pt idx="20">
                  <c:v>9.6196716000000043E-2</c:v>
                </c:pt>
                <c:pt idx="21">
                  <c:v>0.55133057099999994</c:v>
                </c:pt>
                <c:pt idx="22">
                  <c:v>0.236860668</c:v>
                </c:pt>
                <c:pt idx="23">
                  <c:v>3.7304849999999943E-3</c:v>
                </c:pt>
                <c:pt idx="24">
                  <c:v>0.32453549700000006</c:v>
                </c:pt>
                <c:pt idx="25">
                  <c:v>6.2881961999999972E-2</c:v>
                </c:pt>
                <c:pt idx="26">
                  <c:v>0.21420293400000001</c:v>
                </c:pt>
                <c:pt idx="27">
                  <c:v>0.260654196</c:v>
                </c:pt>
                <c:pt idx="28">
                  <c:v>0.50762457900000002</c:v>
                </c:pt>
                <c:pt idx="29">
                  <c:v>0.26194338059999994</c:v>
                </c:pt>
                <c:pt idx="30">
                  <c:v>0.16543253099999999</c:v>
                </c:pt>
                <c:pt idx="31">
                  <c:v>0.570855153</c:v>
                </c:pt>
                <c:pt idx="32">
                  <c:v>0.22978101300000003</c:v>
                </c:pt>
                <c:pt idx="33">
                  <c:v>0.35611488000000002</c:v>
                </c:pt>
                <c:pt idx="34">
                  <c:v>3.3018348000000031E-2</c:v>
                </c:pt>
                <c:pt idx="35">
                  <c:v>0.29046507600000004</c:v>
                </c:pt>
                <c:pt idx="36">
                  <c:v>0.41363622299999997</c:v>
                </c:pt>
                <c:pt idx="37">
                  <c:v>0.118807656</c:v>
                </c:pt>
                <c:pt idx="38">
                  <c:v>0.13737329100000001</c:v>
                </c:pt>
                <c:pt idx="39">
                  <c:v>0.26952004200000002</c:v>
                </c:pt>
                <c:pt idx="40">
                  <c:v>0.50861302800000008</c:v>
                </c:pt>
                <c:pt idx="41">
                  <c:v>0.24761160600000001</c:v>
                </c:pt>
                <c:pt idx="42">
                  <c:v>0.28124556900000008</c:v>
                </c:pt>
                <c:pt idx="43">
                  <c:v>0.29107296899999996</c:v>
                </c:pt>
                <c:pt idx="44">
                  <c:v>0.23577212999999997</c:v>
                </c:pt>
                <c:pt idx="45">
                  <c:v>0.21516211200000002</c:v>
                </c:pt>
                <c:pt idx="46">
                  <c:v>0.21673165800000002</c:v>
                </c:pt>
                <c:pt idx="47">
                  <c:v>0.41536925099999999</c:v>
                </c:pt>
                <c:pt idx="48">
                  <c:v>0.17996388300000005</c:v>
                </c:pt>
                <c:pt idx="49">
                  <c:v>0.16194984300000001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8223184"/>
        <c:axId val="-2138227536"/>
      </c:barChart>
      <c:catAx>
        <c:axId val="-2138223184"/>
        <c:scaling>
          <c:orientation val="minMax"/>
        </c:scaling>
        <c:delete val="0"/>
        <c:axPos val="b"/>
        <c:title>
          <c:tx>
            <c:strRef>
              <c:f>dáta!$N$3</c:f>
              <c:strCache>
                <c:ptCount val="1"/>
                <c:pt idx="0">
                  <c:v>Teplota nameraná v blizkosti (do 10 cm) zberaných plodov (°C):</c:v>
                </c:pt>
              </c:strCache>
            </c:strRef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k-SK"/>
          </a:p>
        </c:txPr>
        <c:crossAx val="-2138227536"/>
        <c:crosses val="autoZero"/>
        <c:auto val="1"/>
        <c:lblAlgn val="ctr"/>
        <c:lblOffset val="100"/>
        <c:noMultiLvlLbl val="0"/>
      </c:catAx>
      <c:valAx>
        <c:axId val="-2138227536"/>
        <c:scaling>
          <c:orientation val="minMax"/>
        </c:scaling>
        <c:delete val="0"/>
        <c:axPos val="l"/>
        <c:majorGridlines/>
        <c:title>
          <c:tx>
            <c:strRef>
              <c:f>dáta!$O$3</c:f>
              <c:strCache>
                <c:ptCount val="1"/>
                <c:pt idx="0">
                  <c:v>Možstvo tryskinu v plode (%):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sk-SK"/>
            </a:p>
          </c:txPr>
        </c:title>
        <c:numFmt formatCode="0%" sourceLinked="0"/>
        <c:majorTickMark val="out"/>
        <c:minorTickMark val="none"/>
        <c:tickLblPos val="nextTo"/>
        <c:crossAx val="-2138223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171450</xdr:rowOff>
    </xdr:from>
    <xdr:to>
      <xdr:col>13</xdr:col>
      <xdr:colOff>552450</xdr:colOff>
      <xdr:row>20</xdr:row>
      <xdr:rowOff>180975</xdr:rowOff>
    </xdr:to>
    <xdr:pic>
      <xdr:nvPicPr>
        <xdr:cNvPr id="2" name="Obrázok 1" descr="http://images.fineartamerica.com/images-medium/cyphomandra-vitra-patricia-van-lubec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171450"/>
          <a:ext cx="5715000" cy="381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200025</xdr:colOff>
      <xdr:row>22</xdr:row>
      <xdr:rowOff>152400</xdr:rowOff>
    </xdr:from>
    <xdr:to>
      <xdr:col>15</xdr:col>
      <xdr:colOff>123825</xdr:colOff>
      <xdr:row>37</xdr:row>
      <xdr:rowOff>76200</xdr:rowOff>
    </xdr:to>
    <xdr:sp macro="" textlink="">
      <xdr:nvSpPr>
        <xdr:cNvPr id="3" name="BlokTextu 2"/>
        <xdr:cNvSpPr txBox="1"/>
      </xdr:nvSpPr>
      <xdr:spPr>
        <a:xfrm>
          <a:off x="2028825" y="4343400"/>
          <a:ext cx="7239000" cy="278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Cyphomandra Vitra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</a:t>
          </a:r>
          <a:r>
            <a:rPr lang="sk-S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mnohých vedcov "zázračným" liekom pre choroby 21. storočia.  Bola objavená len nedávno v lesoch  </a:t>
          </a:r>
          <a:r>
            <a:rPr lang="sk-SK" b="1"/>
            <a:t>Národného parku Poloniny.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Cyphomandra obsahuje látku tryskin, ktorá je účinnou látkou v boji proti srdcovocievnym ochoreniam.  Ukazuje sa, že množstvo tejto látky v plodoch jednotlivých exemplároch</a:t>
          </a:r>
          <a:r>
            <a:rPr lang="sk-S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cyphomandry</a:t>
          </a:r>
          <a:r>
            <a:rPr lang="sk-S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 veľmi rozdieln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sk-S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záleží od podmienok pri zbere.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Rozhodli sme sa preto skúmať problém:  </a:t>
          </a:r>
          <a:r>
            <a:rPr lang="sk-SK" sz="11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Ako vplývajú faktory prostredia na množstvo tryskinu v </a:t>
          </a:r>
          <a:r>
            <a:rPr lang="en-US" sz="11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plodoch </a:t>
          </a:r>
          <a:r>
            <a:rPr lang="sk-SK" sz="11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sk-SK" sz="11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yphomandr</a:t>
          </a:r>
          <a:r>
            <a:rPr lang="en-US" sz="11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sk-SK" sz="11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k-SK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Stanovili sme si nasledovné výskumné otázky: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Ktoré faktory prostredia vplývajú na </a:t>
          </a:r>
          <a:r>
            <a:rPr lang="sk-SK" sz="11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množstvo tryskinu v </a:t>
          </a:r>
          <a:r>
            <a:rPr lang="en-US" sz="11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plodoch </a:t>
          </a:r>
          <a:r>
            <a:rPr lang="sk-SK" sz="11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sk-SK" sz="11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yphomandr</a:t>
          </a:r>
          <a:r>
            <a:rPr lang="en-US" sz="11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sk-SK" sz="11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?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Ako</a:t>
          </a:r>
          <a:r>
            <a:rPr lang="sk-SK" sz="11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tieto faktory prostredia vplývajú na množstvo tryskinu v </a:t>
          </a:r>
          <a:r>
            <a:rPr lang="en-US" sz="11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plodoch </a:t>
          </a:r>
          <a:r>
            <a:rPr lang="sk-SK" sz="11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sk-SK" sz="11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yphomandr</a:t>
          </a:r>
          <a:r>
            <a:rPr lang="en-US" sz="11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sk-SK" sz="11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?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k-SK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zdroj</a:t>
          </a:r>
          <a:r>
            <a:rPr lang="sk-S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obrázka: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/>
            <a:t>VAN LUBECK, Patricia. Cyphomandra Vitra Painting by Patricia Van Lubeck - Cyphomandra Vitra Fine Art Prints and Posters for Sale. </a:t>
          </a:r>
          <a:r>
            <a:rPr lang="sk-SK" i="1"/>
            <a:t>Fine Art</a:t>
          </a:r>
          <a:r>
            <a:rPr lang="sk-SK"/>
            <a:t> [online]. 2011 [cit. 2012-12-12]. Dostupné z: http://fineartamerica.com/featured/cyphomandra-vitra-patricia-van-lubeck.html </a:t>
          </a:r>
          <a:endParaRPr lang="sk-SK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k-SK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100"/>
        </a:p>
      </xdr:txBody>
    </xdr:sp>
    <xdr:clientData/>
  </xdr:twoCellAnchor>
  <xdr:twoCellAnchor>
    <xdr:from>
      <xdr:col>0</xdr:col>
      <xdr:colOff>304800</xdr:colOff>
      <xdr:row>2</xdr:row>
      <xdr:rowOff>104774</xdr:rowOff>
    </xdr:from>
    <xdr:to>
      <xdr:col>4</xdr:col>
      <xdr:colOff>26400</xdr:colOff>
      <xdr:row>9</xdr:row>
      <xdr:rowOff>133350</xdr:rowOff>
    </xdr:to>
    <xdr:sp macro="" textlink="">
      <xdr:nvSpPr>
        <xdr:cNvPr id="4" name="BlokTextu 3"/>
        <xdr:cNvSpPr txBox="1"/>
      </xdr:nvSpPr>
      <xdr:spPr>
        <a:xfrm>
          <a:off x="304800" y="485774"/>
          <a:ext cx="2160000" cy="1362076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Toto je len fikt</a:t>
          </a:r>
          <a:r>
            <a:rPr lang="sk-SK" sz="1100"/>
            <a:t>ívna</a:t>
          </a:r>
          <a:r>
            <a:rPr lang="sk-SK" sz="1100" baseline="0"/>
            <a:t> ukážka. Napriek tomu demonštruje, čo sa od </a:t>
          </a:r>
          <a:r>
            <a:rPr lang="en-US" sz="1100" baseline="0"/>
            <a:t>v</a:t>
          </a:r>
          <a:r>
            <a:rPr lang="sk-SK" sz="1100" baseline="0"/>
            <a:t>ýskumníka očakáva. Od reálneho výskumu sa líši len tým, že dáta sa generujú náhodne. Skutočný výskuník by tieto dáta mali reálne zozbierať.</a:t>
          </a:r>
          <a:endParaRPr lang="sk-SK" sz="1100"/>
        </a:p>
      </xdr:txBody>
    </xdr:sp>
    <xdr:clientData/>
  </xdr:twoCellAnchor>
  <xdr:twoCellAnchor>
    <xdr:from>
      <xdr:col>0</xdr:col>
      <xdr:colOff>314325</xdr:colOff>
      <xdr:row>10</xdr:row>
      <xdr:rowOff>133350</xdr:rowOff>
    </xdr:from>
    <xdr:to>
      <xdr:col>4</xdr:col>
      <xdr:colOff>35925</xdr:colOff>
      <xdr:row>21</xdr:row>
      <xdr:rowOff>28576</xdr:rowOff>
    </xdr:to>
    <xdr:sp macro="" textlink="">
      <xdr:nvSpPr>
        <xdr:cNvPr id="5" name="BlokTextu 4"/>
        <xdr:cNvSpPr txBox="1"/>
      </xdr:nvSpPr>
      <xdr:spPr>
        <a:xfrm>
          <a:off x="314325" y="2038350"/>
          <a:ext cx="2160000" cy="199072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/>
            <a:t>Toto je stručný úvod do problematiky a zdôvodnenie,</a:t>
          </a:r>
          <a:r>
            <a:rPr lang="sk-SK" sz="1100" baseline="0"/>
            <a:t> prečo výskumník skúmal vybranú oblasť.</a:t>
          </a:r>
        </a:p>
        <a:p>
          <a:endParaRPr lang="sk-SK" sz="1100" baseline="0"/>
        </a:p>
        <a:p>
          <a:r>
            <a:rPr lang="sk-SK" sz="1100" baseline="0"/>
            <a:t>Zároveň sa stanovuje výskumný problém a výskumné otázky.</a:t>
          </a:r>
        </a:p>
        <a:p>
          <a:endParaRPr lang="sk-SK" sz="1100" baseline="0"/>
        </a:p>
        <a:p>
          <a:r>
            <a:rPr lang="sk-SK" sz="1100" baseline="0"/>
            <a:t>POZOR! Výskumná otázna nie je to isté ako otázka v prípadnom dotazníku.</a:t>
          </a:r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14</xdr:row>
      <xdr:rowOff>19051</xdr:rowOff>
    </xdr:from>
    <xdr:to>
      <xdr:col>8</xdr:col>
      <xdr:colOff>381000</xdr:colOff>
      <xdr:row>18</xdr:row>
      <xdr:rowOff>76201</xdr:rowOff>
    </xdr:to>
    <xdr:sp macro="" textlink="">
      <xdr:nvSpPr>
        <xdr:cNvPr id="2" name="BlokTextu 1"/>
        <xdr:cNvSpPr txBox="1"/>
      </xdr:nvSpPr>
      <xdr:spPr>
        <a:xfrm>
          <a:off x="133350" y="2686051"/>
          <a:ext cx="5724525" cy="819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/>
            <a:t>Výskumik</a:t>
          </a:r>
          <a:r>
            <a:rPr lang="sk-SK" sz="1100" baseline="0"/>
            <a:t> </a:t>
          </a:r>
          <a:r>
            <a:rPr lang="sk-SK" sz="1100"/>
            <a:t>by si mal stanoviť  relevantné hypotézy, ktoré sa buď potvrdia alebo vyvrátia. Iná možnosť je  neprípustná. Hypotéza je oznamovacia veta. Hypotéza v tomto type výskum obsahuje</a:t>
          </a:r>
          <a:r>
            <a:rPr lang="sk-SK" sz="1100" baseline="0"/>
            <a:t> minimálne dve premenné (môže aj viac) a dáva ich do vzájomného  vzťahu. Je to vedecký predpoklad odvodený z teórie oblasti, ktorú skúmame.</a:t>
          </a:r>
          <a:endParaRPr lang="sk-SK" sz="1100"/>
        </a:p>
        <a:p>
          <a:endParaRPr lang="sk-SK" sz="1100"/>
        </a:p>
      </xdr:txBody>
    </xdr:sp>
    <xdr:clientData/>
  </xdr:twoCellAnchor>
  <xdr:twoCellAnchor>
    <xdr:from>
      <xdr:col>5</xdr:col>
      <xdr:colOff>495300</xdr:colOff>
      <xdr:row>1</xdr:row>
      <xdr:rowOff>9525</xdr:rowOff>
    </xdr:from>
    <xdr:to>
      <xdr:col>15</xdr:col>
      <xdr:colOff>123825</xdr:colOff>
      <xdr:row>5</xdr:row>
      <xdr:rowOff>57150</xdr:rowOff>
    </xdr:to>
    <xdr:sp macro="" textlink="">
      <xdr:nvSpPr>
        <xdr:cNvPr id="3" name="BlokTextu 2"/>
        <xdr:cNvSpPr txBox="1"/>
      </xdr:nvSpPr>
      <xdr:spPr>
        <a:xfrm>
          <a:off x="4143375" y="200025"/>
          <a:ext cx="5724525" cy="8096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/>
            <a:t>Kvalita prostredia v ktorej rastlinka rástla je komplexnou premennou. Rozhodli sme sa preto prostredie charakterizovať</a:t>
          </a:r>
          <a:r>
            <a:rPr lang="sk-SK" sz="1100" baseline="0"/>
            <a:t> niekoľkými nezávislými premennými.</a:t>
          </a:r>
        </a:p>
        <a:p>
          <a:r>
            <a:rPr lang="sk-SK" sz="1100" baseline="0"/>
            <a:t>Skúmať budeme, aký vplyv majú tieto premenné na závislú premennú, t.j. množstvo účinej látky v plode.</a:t>
          </a:r>
          <a:endParaRPr lang="sk-SK" sz="1100"/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10</xdr:row>
      <xdr:rowOff>0</xdr:rowOff>
    </xdr:from>
    <xdr:to>
      <xdr:col>1</xdr:col>
      <xdr:colOff>3838574</xdr:colOff>
      <xdr:row>13</xdr:row>
      <xdr:rowOff>66676</xdr:rowOff>
    </xdr:to>
    <xdr:sp macro="" textlink="">
      <xdr:nvSpPr>
        <xdr:cNvPr id="2" name="BlokTextu 1"/>
        <xdr:cNvSpPr txBox="1"/>
      </xdr:nvSpPr>
      <xdr:spPr>
        <a:xfrm>
          <a:off x="609599" y="1905000"/>
          <a:ext cx="3838575" cy="63817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/>
            <a:t>Otázky/položky v dotazníku by mali pomôcť zistiť hodnoty premenných,</a:t>
          </a:r>
          <a:r>
            <a:rPr lang="sk-SK" sz="1100" baseline="0"/>
            <a:t> </a:t>
          </a:r>
          <a:r>
            <a:rPr lang="sk-SK" sz="1100"/>
            <a:t>ktoré ssa</a:t>
          </a:r>
          <a:r>
            <a:rPr lang="sk-SK" sz="1100" baseline="0"/>
            <a:t> nachádzajú vo výskumných otázkach a hypotézach</a:t>
          </a:r>
          <a:r>
            <a:rPr lang="sk-SK" sz="1100"/>
            <a:t>).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</xdr:row>
      <xdr:rowOff>95250</xdr:rowOff>
    </xdr:from>
    <xdr:to>
      <xdr:col>4</xdr:col>
      <xdr:colOff>112125</xdr:colOff>
      <xdr:row>2</xdr:row>
      <xdr:rowOff>1276350</xdr:rowOff>
    </xdr:to>
    <xdr:sp macro="" textlink="">
      <xdr:nvSpPr>
        <xdr:cNvPr id="12" name="BlokTextu 11"/>
        <xdr:cNvSpPr txBox="1"/>
      </xdr:nvSpPr>
      <xdr:spPr>
        <a:xfrm>
          <a:off x="390525" y="285750"/>
          <a:ext cx="2160000" cy="11811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/>
            <a:t>Tu sú uvedené dáta</a:t>
          </a:r>
          <a:r>
            <a:rPr lang="sk-SK" sz="1100" baseline="0"/>
            <a:t> z dotazníka.</a:t>
          </a:r>
        </a:p>
        <a:p>
          <a:r>
            <a:rPr lang="sk-SK" sz="1100" baseline="0"/>
            <a:t>Prípadne rôzne preusporiadané aby sa uľahčilo ich spracovanie. Výskumník by mal čo najviac využiť nátroje tab. kalkulátora a neupravovať dáta v tabuľke ručne.</a:t>
          </a:r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7844</xdr:colOff>
      <xdr:row>10</xdr:row>
      <xdr:rowOff>2801</xdr:rowOff>
    </xdr:from>
    <xdr:to>
      <xdr:col>16</xdr:col>
      <xdr:colOff>486962</xdr:colOff>
      <xdr:row>12</xdr:row>
      <xdr:rowOff>155201</xdr:rowOff>
    </xdr:to>
    <xdr:sp macro="" textlink="">
      <xdr:nvSpPr>
        <xdr:cNvPr id="8" name="BlokTextu 7"/>
        <xdr:cNvSpPr txBox="1"/>
      </xdr:nvSpPr>
      <xdr:spPr>
        <a:xfrm>
          <a:off x="8479491" y="2087095"/>
          <a:ext cx="2160000" cy="5334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/>
            <a:t>Grafy zobrazujúce jednotlivé vzťahy.</a:t>
          </a:r>
        </a:p>
      </xdr:txBody>
    </xdr:sp>
    <xdr:clientData/>
  </xdr:twoCellAnchor>
  <xdr:twoCellAnchor>
    <xdr:from>
      <xdr:col>1</xdr:col>
      <xdr:colOff>0</xdr:colOff>
      <xdr:row>0</xdr:row>
      <xdr:rowOff>112055</xdr:rowOff>
    </xdr:from>
    <xdr:to>
      <xdr:col>12</xdr:col>
      <xdr:colOff>543706</xdr:colOff>
      <xdr:row>18</xdr:row>
      <xdr:rowOff>103761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593911</xdr:colOff>
      <xdr:row>19</xdr:row>
      <xdr:rowOff>56030</xdr:rowOff>
    </xdr:from>
    <xdr:to>
      <xdr:col>12</xdr:col>
      <xdr:colOff>532499</xdr:colOff>
      <xdr:row>38</xdr:row>
      <xdr:rowOff>36530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179294</xdr:rowOff>
    </xdr:from>
    <xdr:to>
      <xdr:col>12</xdr:col>
      <xdr:colOff>543706</xdr:colOff>
      <xdr:row>57</xdr:row>
      <xdr:rowOff>159794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58</xdr:row>
      <xdr:rowOff>67235</xdr:rowOff>
    </xdr:from>
    <xdr:to>
      <xdr:col>12</xdr:col>
      <xdr:colOff>543707</xdr:colOff>
      <xdr:row>77</xdr:row>
      <xdr:rowOff>47735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11205</xdr:colOff>
      <xdr:row>77</xdr:row>
      <xdr:rowOff>145678</xdr:rowOff>
    </xdr:from>
    <xdr:to>
      <xdr:col>12</xdr:col>
      <xdr:colOff>554911</xdr:colOff>
      <xdr:row>96</xdr:row>
      <xdr:rowOff>126178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403911</xdr:colOff>
      <xdr:row>21</xdr:row>
      <xdr:rowOff>14287</xdr:rowOff>
    </xdr:from>
    <xdr:to>
      <xdr:col>13</xdr:col>
      <xdr:colOff>294374</xdr:colOff>
      <xdr:row>38</xdr:row>
      <xdr:rowOff>90487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</xdr:row>
      <xdr:rowOff>9525</xdr:rowOff>
    </xdr:from>
    <xdr:to>
      <xdr:col>12</xdr:col>
      <xdr:colOff>503925</xdr:colOff>
      <xdr:row>19</xdr:row>
      <xdr:rowOff>180525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600075</xdr:colOff>
      <xdr:row>20</xdr:row>
      <xdr:rowOff>190499</xdr:rowOff>
    </xdr:from>
    <xdr:to>
      <xdr:col>18</xdr:col>
      <xdr:colOff>419100</xdr:colOff>
      <xdr:row>27</xdr:row>
      <xdr:rowOff>38100</xdr:rowOff>
    </xdr:to>
    <xdr:sp macro="" textlink="">
      <xdr:nvSpPr>
        <xdr:cNvPr id="5" name="BlokTextu 4"/>
        <xdr:cNvSpPr txBox="1"/>
      </xdr:nvSpPr>
      <xdr:spPr>
        <a:xfrm>
          <a:off x="8105775" y="4000499"/>
          <a:ext cx="2867025" cy="11811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Je</a:t>
          </a:r>
          <a:r>
            <a:rPr lang="en-US" sz="1100" baseline="0"/>
            <a:t> vhodn</a:t>
          </a:r>
          <a:r>
            <a:rPr lang="sk-SK" sz="1100" baseline="0"/>
            <a:t>é uviesť  informáciu o tom,  aké rozloženie majú  nezávislé premenné. </a:t>
          </a:r>
        </a:p>
        <a:p>
          <a:r>
            <a:rPr lang="sk-SK" sz="1100" baseline="0"/>
            <a:t>Výsledok tohto výskumu by bol zrejme inak interpretovateľný v prípade, ak by  sa zber uskutočňoval výhradne len za slnečného počasia.</a:t>
          </a:r>
          <a:endParaRPr lang="sk-SK" sz="1100"/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21</xdr:row>
      <xdr:rowOff>4762</xdr:rowOff>
    </xdr:from>
    <xdr:to>
      <xdr:col>11</xdr:col>
      <xdr:colOff>319087</xdr:colOff>
      <xdr:row>37</xdr:row>
      <xdr:rowOff>80962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</xdr:row>
      <xdr:rowOff>9525</xdr:rowOff>
    </xdr:from>
    <xdr:to>
      <xdr:col>11</xdr:col>
      <xdr:colOff>94350</xdr:colOff>
      <xdr:row>19</xdr:row>
      <xdr:rowOff>180525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252412</xdr:colOff>
      <xdr:row>20</xdr:row>
      <xdr:rowOff>185737</xdr:rowOff>
    </xdr:from>
    <xdr:to>
      <xdr:col>12</xdr:col>
      <xdr:colOff>557212</xdr:colOff>
      <xdr:row>38</xdr:row>
      <xdr:rowOff>71437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</xdr:row>
      <xdr:rowOff>19050</xdr:rowOff>
    </xdr:from>
    <xdr:to>
      <xdr:col>11</xdr:col>
      <xdr:colOff>380100</xdr:colOff>
      <xdr:row>19</xdr:row>
      <xdr:rowOff>190050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7"/>
  <sheetViews>
    <sheetView workbookViewId="0">
      <selection activeCell="Q16" sqref="Q16"/>
    </sheetView>
  </sheetViews>
  <sheetFormatPr defaultRowHeight="15" x14ac:dyDescent="0.25"/>
  <sheetData>
    <row r="2" spans="2:8" ht="21" x14ac:dyDescent="0.35">
      <c r="B2" s="29" t="s">
        <v>33</v>
      </c>
      <c r="C2" s="29"/>
    </row>
    <row r="4" spans="2:8" x14ac:dyDescent="0.25">
      <c r="B4" t="s">
        <v>68</v>
      </c>
    </row>
    <row r="6" spans="2:8" x14ac:dyDescent="0.25">
      <c r="B6" s="32" t="s">
        <v>14</v>
      </c>
      <c r="C6" s="33" t="s">
        <v>69</v>
      </c>
      <c r="D6" s="33" t="str">
        <f ca="1">'spoločné grafy'!Q5</f>
        <v>silná</v>
      </c>
      <c r="E6" s="34" t="str">
        <f ca="1">'spoločné grafy'!R5</f>
        <v>pozitívna</v>
      </c>
      <c r="F6" s="35" t="str">
        <f>'spoločné grafy'!S5</f>
        <v>závislosť</v>
      </c>
      <c r="H6" s="3" t="str">
        <f ca="1">svetlo!L40</f>
        <v>Hypotéza 1. potvrdená</v>
      </c>
    </row>
    <row r="7" spans="2:8" x14ac:dyDescent="0.25">
      <c r="B7" s="32" t="s">
        <v>13</v>
      </c>
      <c r="C7" s="33" t="s">
        <v>69</v>
      </c>
      <c r="D7" s="33" t="str">
        <f ca="1">'spoločné grafy'!Q6</f>
        <v>malá</v>
      </c>
      <c r="E7" s="34" t="str">
        <f ca="1">'spoločné grafy'!R6</f>
        <v>negatívna</v>
      </c>
      <c r="F7" s="35" t="str">
        <f>'spoločné grafy'!S6</f>
        <v>závislosť</v>
      </c>
      <c r="H7" s="3" t="str">
        <f ca="1">teplo!I40</f>
        <v>Hypotéza 2. nepotvrdená</v>
      </c>
    </row>
    <row r="8" spans="2:8" x14ac:dyDescent="0.25">
      <c r="B8" s="32" t="s">
        <v>15</v>
      </c>
      <c r="C8" s="33" t="s">
        <v>69</v>
      </c>
      <c r="D8" s="33" t="str">
        <f ca="1">'spoločné grafy'!Q7</f>
        <v>malá</v>
      </c>
      <c r="E8" s="34" t="str">
        <f ca="1">'spoločné grafy'!R7</f>
        <v>pozitívna</v>
      </c>
      <c r="F8" s="35" t="str">
        <f>'spoločné grafy'!S7</f>
        <v>závislosť</v>
      </c>
      <c r="H8" s="3" t="str">
        <f ca="1">vlhkosť!K40</f>
        <v>Hypotéza 3. nepotvrdená</v>
      </c>
    </row>
    <row r="9" spans="2:8" x14ac:dyDescent="0.25">
      <c r="B9" s="26" t="s">
        <v>60</v>
      </c>
      <c r="C9" s="36" t="s">
        <v>69</v>
      </c>
      <c r="D9" s="36" t="str">
        <f ca="1">'spoločné grafy'!Q8</f>
        <v>silná</v>
      </c>
      <c r="E9" s="37" t="str">
        <f ca="1">'spoločné grafy'!R8</f>
        <v>negatívna</v>
      </c>
      <c r="F9" s="38" t="str">
        <f>'spoločné grafy'!S8</f>
        <v>závislosť</v>
      </c>
    </row>
    <row r="10" spans="2:8" x14ac:dyDescent="0.25">
      <c r="B10" s="26" t="s">
        <v>16</v>
      </c>
      <c r="C10" s="36" t="s">
        <v>69</v>
      </c>
      <c r="D10" s="36" t="str">
        <f ca="1">'spoločné grafy'!Q9</f>
        <v>malá</v>
      </c>
      <c r="E10" s="37" t="str">
        <f ca="1">'spoločné grafy'!R9</f>
        <v>negatívna</v>
      </c>
      <c r="F10" s="38" t="str">
        <f>'spoločné grafy'!S9</f>
        <v>závislosť</v>
      </c>
    </row>
    <row r="11" spans="2:8" ht="15.75" thickBot="1" x14ac:dyDescent="0.3"/>
    <row r="12" spans="2:8" x14ac:dyDescent="0.25">
      <c r="B12" s="79" t="s">
        <v>73</v>
      </c>
      <c r="C12" s="80"/>
      <c r="D12" s="80"/>
      <c r="E12" s="80"/>
      <c r="F12" s="80"/>
      <c r="G12" s="81"/>
    </row>
    <row r="13" spans="2:8" x14ac:dyDescent="0.25">
      <c r="B13" s="82" t="s">
        <v>74</v>
      </c>
      <c r="C13" s="83"/>
      <c r="D13" s="83">
        <f ca="1">dáta!G54</f>
        <v>25.923999999999999</v>
      </c>
      <c r="E13" s="83" t="s">
        <v>75</v>
      </c>
      <c r="F13" s="83"/>
      <c r="G13" s="84"/>
    </row>
    <row r="14" spans="2:8" x14ac:dyDescent="0.25">
      <c r="B14" s="82" t="s">
        <v>76</v>
      </c>
      <c r="C14" s="83"/>
      <c r="D14" s="85">
        <f ca="1">dáta!H54</f>
        <v>0.26194338059999994</v>
      </c>
      <c r="E14" s="83" t="s">
        <v>77</v>
      </c>
      <c r="F14" s="83"/>
      <c r="G14" s="84"/>
    </row>
    <row r="15" spans="2:8" ht="15.75" thickBot="1" x14ac:dyDescent="0.3">
      <c r="B15" s="86" t="s">
        <v>78</v>
      </c>
      <c r="C15" s="87"/>
      <c r="D15" s="88">
        <f ca="1">D14*D13</f>
        <v>6.7906201986743984</v>
      </c>
      <c r="E15" s="88" t="s">
        <v>79</v>
      </c>
      <c r="F15" s="88"/>
      <c r="G15" s="89"/>
    </row>
    <row r="16" spans="2:8" ht="15.75" thickBot="1" x14ac:dyDescent="0.3">
      <c r="B16" s="3"/>
      <c r="C16" s="3"/>
    </row>
    <row r="17" spans="1:13" x14ac:dyDescent="0.25">
      <c r="B17" s="90" t="s">
        <v>84</v>
      </c>
      <c r="C17" s="80"/>
      <c r="D17" s="80"/>
      <c r="E17" s="80"/>
      <c r="F17" s="80"/>
      <c r="G17" s="80"/>
      <c r="H17" s="80"/>
      <c r="I17" s="80"/>
      <c r="J17" s="80"/>
      <c r="K17" s="81"/>
    </row>
    <row r="18" spans="1:13" x14ac:dyDescent="0.25">
      <c r="B18" s="82" t="s">
        <v>80</v>
      </c>
      <c r="C18" s="91"/>
      <c r="D18" s="83"/>
      <c r="E18" s="83">
        <f ca="1">AVERAGEIF(dáta!C4:C53,"&gt;10000",dáta!G4:G53)</f>
        <v>23.148947368421055</v>
      </c>
      <c r="F18" s="83" t="s">
        <v>75</v>
      </c>
      <c r="G18" s="83"/>
      <c r="H18" s="83"/>
      <c r="I18" s="83"/>
      <c r="J18" s="83"/>
      <c r="K18" s="84"/>
    </row>
    <row r="19" spans="1:13" x14ac:dyDescent="0.25">
      <c r="A19" s="24"/>
      <c r="B19" s="82" t="s">
        <v>81</v>
      </c>
      <c r="C19" s="92"/>
      <c r="D19" s="83"/>
      <c r="E19" s="85">
        <f ca="1">AVERAGEIF(dáta!C4:C53,"&gt;10000",dáta!H4:H53)</f>
        <v>0.40995665699999995</v>
      </c>
      <c r="F19" s="83" t="s">
        <v>82</v>
      </c>
      <c r="G19" s="83"/>
      <c r="H19" s="83"/>
      <c r="I19" s="83"/>
      <c r="J19" s="83"/>
      <c r="K19" s="84"/>
    </row>
    <row r="20" spans="1:13" ht="15.75" thickBot="1" x14ac:dyDescent="0.3">
      <c r="A20" s="24"/>
      <c r="B20" s="86" t="s">
        <v>78</v>
      </c>
      <c r="C20" s="93"/>
      <c r="D20" s="88"/>
      <c r="E20" s="88">
        <f ca="1">E19*E18</f>
        <v>9.4900650762268413</v>
      </c>
      <c r="F20" s="88" t="s">
        <v>79</v>
      </c>
      <c r="G20" s="88"/>
      <c r="H20" s="88"/>
      <c r="I20" s="88"/>
      <c r="J20" s="88"/>
      <c r="K20" s="89"/>
    </row>
    <row r="21" spans="1:13" ht="15.75" thickBot="1" x14ac:dyDescent="0.3">
      <c r="A21" s="24"/>
      <c r="B21" s="28"/>
      <c r="C21" s="28"/>
      <c r="D21" s="25"/>
      <c r="E21" s="25"/>
      <c r="F21" s="25"/>
      <c r="G21" s="25"/>
      <c r="H21" s="25"/>
      <c r="I21" s="25"/>
    </row>
    <row r="22" spans="1:13" x14ac:dyDescent="0.25">
      <c r="A22" s="24"/>
      <c r="B22" s="71" t="s">
        <v>83</v>
      </c>
      <c r="C22" s="58"/>
      <c r="D22" s="58"/>
      <c r="E22" s="58"/>
      <c r="F22" s="58"/>
      <c r="G22" s="58"/>
      <c r="H22" s="58"/>
      <c r="I22" s="58"/>
      <c r="J22" s="58"/>
      <c r="K22" s="59"/>
    </row>
    <row r="23" spans="1:13" x14ac:dyDescent="0.25">
      <c r="A23" s="24"/>
      <c r="B23" s="69" t="s">
        <v>80</v>
      </c>
      <c r="C23" s="72"/>
      <c r="D23" s="39"/>
      <c r="E23" s="39">
        <f ca="1">AVERAGEIF(dáta!F4:F53,"&lt;7",dáta!G4:G53)</f>
        <v>26.303529411764703</v>
      </c>
      <c r="F23" s="39" t="s">
        <v>75</v>
      </c>
      <c r="G23" s="39"/>
      <c r="H23" s="39"/>
      <c r="I23" s="39"/>
      <c r="J23" s="61"/>
      <c r="K23" s="62"/>
    </row>
    <row r="24" spans="1:13" x14ac:dyDescent="0.25">
      <c r="A24" s="24"/>
      <c r="B24" s="69" t="s">
        <v>81</v>
      </c>
      <c r="C24" s="73"/>
      <c r="D24" s="39"/>
      <c r="E24" s="74">
        <f ca="1">AVERAGEIF(dáta!F4:F53,"&lt;7",dáta!H4:H53)</f>
        <v>0.32972917288235282</v>
      </c>
      <c r="F24" s="39" t="s">
        <v>82</v>
      </c>
      <c r="G24" s="39"/>
      <c r="H24" s="39"/>
      <c r="I24" s="39"/>
      <c r="J24" s="61"/>
      <c r="K24" s="62"/>
    </row>
    <row r="25" spans="1:13" ht="15.75" thickBot="1" x14ac:dyDescent="0.3">
      <c r="A25" s="24"/>
      <c r="B25" s="70" t="s">
        <v>78</v>
      </c>
      <c r="C25" s="75"/>
      <c r="D25" s="76"/>
      <c r="E25" s="76">
        <f ca="1">E24*E23</f>
        <v>8.6730409968278153</v>
      </c>
      <c r="F25" s="64" t="s">
        <v>79</v>
      </c>
      <c r="G25" s="76"/>
      <c r="H25" s="76"/>
      <c r="I25" s="76"/>
      <c r="J25" s="64"/>
      <c r="K25" s="65"/>
    </row>
    <row r="26" spans="1:13" ht="15.75" thickBot="1" x14ac:dyDescent="0.3">
      <c r="A26" s="24"/>
      <c r="B26" s="28"/>
      <c r="C26" s="28"/>
      <c r="D26" s="25"/>
      <c r="E26" s="25"/>
      <c r="F26" s="25"/>
      <c r="G26" s="25"/>
      <c r="H26" s="25"/>
      <c r="I26" s="25"/>
    </row>
    <row r="27" spans="1:13" x14ac:dyDescent="0.25">
      <c r="A27" s="24"/>
      <c r="B27" s="71" t="s">
        <v>85</v>
      </c>
      <c r="C27" s="77"/>
      <c r="D27" s="78"/>
      <c r="E27" s="78"/>
      <c r="F27" s="78"/>
      <c r="G27" s="78"/>
      <c r="H27" s="78"/>
      <c r="I27" s="78"/>
      <c r="J27" s="58"/>
      <c r="K27" s="58"/>
      <c r="L27" s="58"/>
      <c r="M27" s="59"/>
    </row>
    <row r="28" spans="1:13" x14ac:dyDescent="0.25">
      <c r="A28" s="24"/>
      <c r="B28" s="69" t="s">
        <v>80</v>
      </c>
      <c r="C28" s="73"/>
      <c r="D28" s="39"/>
      <c r="E28" s="39">
        <f ca="1">AVERAGEIFS(dáta!G4:G53,dáta!C4:C53,"&gt;10000",dáta!F4:F53,"&lt;7")</f>
        <v>22.55857142857143</v>
      </c>
      <c r="F28" s="39"/>
      <c r="G28" s="39"/>
      <c r="H28" s="39"/>
      <c r="I28" s="39"/>
      <c r="J28" s="61"/>
      <c r="K28" s="61"/>
      <c r="L28" s="61"/>
      <c r="M28" s="62"/>
    </row>
    <row r="29" spans="1:13" x14ac:dyDescent="0.25">
      <c r="A29" s="24"/>
      <c r="B29" s="69" t="s">
        <v>81</v>
      </c>
      <c r="C29" s="73"/>
      <c r="D29" s="39"/>
      <c r="E29" s="74">
        <f ca="1">AVERAGEIFS(dáta!H4:H53,dáta!C4:C53,"&gt;10000",dáta!F4:F53,"&lt;7")</f>
        <v>0.4774272501428572</v>
      </c>
      <c r="F29" s="39"/>
      <c r="G29" s="39"/>
      <c r="H29" s="39"/>
      <c r="I29" s="39"/>
      <c r="J29" s="61"/>
      <c r="K29" s="61"/>
      <c r="L29" s="61"/>
      <c r="M29" s="62"/>
    </row>
    <row r="30" spans="1:13" ht="15.75" thickBot="1" x14ac:dyDescent="0.3">
      <c r="A30" s="24"/>
      <c r="B30" s="70" t="s">
        <v>78</v>
      </c>
      <c r="C30" s="75"/>
      <c r="D30" s="76"/>
      <c r="E30" s="76">
        <f ca="1">E29*E28</f>
        <v>10.770076724294084</v>
      </c>
      <c r="F30" s="64" t="s">
        <v>79</v>
      </c>
      <c r="G30" s="76"/>
      <c r="H30" s="76"/>
      <c r="I30" s="76"/>
      <c r="J30" s="64"/>
      <c r="K30" s="64"/>
      <c r="L30" s="64"/>
      <c r="M30" s="65"/>
    </row>
    <row r="31" spans="1:13" x14ac:dyDescent="0.25">
      <c r="A31" s="24"/>
      <c r="B31" s="28"/>
      <c r="C31" s="28"/>
      <c r="D31" s="25"/>
      <c r="E31" s="25"/>
      <c r="F31" s="25"/>
      <c r="G31" s="25"/>
      <c r="H31" s="25"/>
      <c r="I31" s="25"/>
    </row>
    <row r="32" spans="1:13" x14ac:dyDescent="0.25">
      <c r="A32" s="24"/>
      <c r="B32" s="28"/>
      <c r="C32" s="28"/>
      <c r="D32" s="25"/>
      <c r="E32" s="25"/>
      <c r="F32" s="25"/>
      <c r="G32" s="25"/>
      <c r="H32" s="25"/>
      <c r="I32" s="25"/>
    </row>
    <row r="33" spans="1:9" x14ac:dyDescent="0.25">
      <c r="A33" s="24"/>
      <c r="B33" s="28" t="s">
        <v>87</v>
      </c>
      <c r="C33" s="28"/>
      <c r="D33" s="25" t="s">
        <v>88</v>
      </c>
      <c r="E33" s="25"/>
      <c r="F33" s="25"/>
      <c r="G33" s="25"/>
      <c r="H33" s="25"/>
      <c r="I33" s="25"/>
    </row>
    <row r="34" spans="1:9" x14ac:dyDescent="0.25">
      <c r="A34" s="24"/>
      <c r="B34" s="28"/>
      <c r="C34" s="28"/>
      <c r="D34" s="25"/>
      <c r="E34" s="25"/>
      <c r="F34" s="25"/>
      <c r="G34" s="25"/>
      <c r="H34" s="25"/>
      <c r="I34" s="25"/>
    </row>
    <row r="35" spans="1:9" x14ac:dyDescent="0.25">
      <c r="A35" s="24"/>
      <c r="B35" s="28"/>
      <c r="C35" s="28"/>
      <c r="D35" s="25"/>
      <c r="E35" s="25"/>
      <c r="F35" s="25"/>
      <c r="G35" s="25"/>
      <c r="H35" s="25"/>
      <c r="I35" s="25"/>
    </row>
    <row r="36" spans="1:9" x14ac:dyDescent="0.25">
      <c r="A36" s="24"/>
      <c r="B36" s="28"/>
      <c r="C36" s="28"/>
      <c r="D36" s="25"/>
      <c r="E36" s="25"/>
      <c r="F36" s="25"/>
      <c r="G36" s="25"/>
      <c r="H36" s="25"/>
      <c r="I36" s="25"/>
    </row>
    <row r="37" spans="1:9" x14ac:dyDescent="0.25">
      <c r="A37" s="24"/>
      <c r="B37" s="28"/>
      <c r="C37" s="28"/>
      <c r="D37" s="25"/>
      <c r="E37" s="25"/>
      <c r="F37" s="25"/>
      <c r="G37" s="25"/>
      <c r="H37" s="25"/>
      <c r="I37" s="25"/>
    </row>
    <row r="38" spans="1:9" x14ac:dyDescent="0.25">
      <c r="A38" s="24"/>
      <c r="B38" s="28"/>
      <c r="C38" s="28"/>
      <c r="D38" s="25"/>
      <c r="E38" s="25"/>
      <c r="F38" s="25"/>
      <c r="G38" s="25"/>
      <c r="H38" s="25"/>
      <c r="I38" s="25"/>
    </row>
    <row r="39" spans="1:9" x14ac:dyDescent="0.25">
      <c r="A39" s="24"/>
      <c r="B39" s="28"/>
      <c r="C39" s="28"/>
      <c r="D39" s="25"/>
      <c r="E39" s="25"/>
      <c r="F39" s="25"/>
      <c r="G39" s="25"/>
      <c r="H39" s="25"/>
      <c r="I39" s="25"/>
    </row>
    <row r="40" spans="1:9" x14ac:dyDescent="0.25">
      <c r="A40" s="24"/>
      <c r="B40" s="28"/>
      <c r="C40" s="28"/>
      <c r="D40" s="25"/>
      <c r="E40" s="25"/>
      <c r="F40" s="25"/>
      <c r="G40" s="25"/>
      <c r="H40" s="25"/>
      <c r="I40" s="25"/>
    </row>
    <row r="41" spans="1:9" x14ac:dyDescent="0.25">
      <c r="A41" s="24"/>
      <c r="B41" s="28"/>
      <c r="C41" s="28"/>
      <c r="D41" s="25"/>
      <c r="E41" s="25"/>
      <c r="F41" s="25"/>
      <c r="G41" s="25"/>
      <c r="H41" s="25"/>
      <c r="I41" s="25"/>
    </row>
    <row r="42" spans="1:9" x14ac:dyDescent="0.25">
      <c r="A42" s="24"/>
      <c r="B42" s="28"/>
      <c r="C42" s="28"/>
      <c r="D42" s="25"/>
      <c r="E42" s="25"/>
      <c r="F42" s="25"/>
      <c r="G42" s="25"/>
      <c r="H42" s="25"/>
      <c r="I42" s="25"/>
    </row>
    <row r="43" spans="1:9" x14ac:dyDescent="0.25">
      <c r="A43" s="24"/>
      <c r="B43" s="28"/>
      <c r="C43" s="28"/>
      <c r="D43" s="25"/>
      <c r="E43" s="25"/>
      <c r="F43" s="25"/>
      <c r="G43" s="25"/>
      <c r="H43" s="25"/>
      <c r="I43" s="25"/>
    </row>
    <row r="44" spans="1:9" x14ac:dyDescent="0.25">
      <c r="A44" s="24"/>
      <c r="B44" s="28"/>
      <c r="C44" s="28"/>
      <c r="D44" s="25"/>
      <c r="E44" s="25"/>
      <c r="F44" s="25"/>
      <c r="G44" s="25"/>
      <c r="H44" s="25"/>
      <c r="I44" s="25"/>
    </row>
    <row r="45" spans="1:9" x14ac:dyDescent="0.25">
      <c r="A45" s="24"/>
      <c r="B45" s="28"/>
      <c r="C45" s="28"/>
      <c r="D45" s="25"/>
      <c r="E45" s="25"/>
      <c r="F45" s="25"/>
      <c r="G45" s="25"/>
      <c r="H45" s="25"/>
      <c r="I45" s="25"/>
    </row>
    <row r="46" spans="1:9" x14ac:dyDescent="0.25">
      <c r="A46" s="24"/>
      <c r="B46" s="28"/>
      <c r="C46" s="28"/>
      <c r="D46" s="25"/>
      <c r="E46" s="25"/>
      <c r="F46" s="25"/>
      <c r="G46" s="25"/>
      <c r="H46" s="25"/>
      <c r="I46" s="25"/>
    </row>
    <row r="47" spans="1:9" x14ac:dyDescent="0.25">
      <c r="A47" s="24"/>
      <c r="B47" s="28"/>
      <c r="C47" s="28"/>
      <c r="D47" s="25"/>
      <c r="E47" s="25"/>
      <c r="F47" s="25"/>
      <c r="G47" s="25"/>
      <c r="H47" s="25"/>
      <c r="I47" s="25"/>
    </row>
    <row r="48" spans="1:9" x14ac:dyDescent="0.25">
      <c r="A48" s="24"/>
      <c r="B48" s="28"/>
      <c r="C48" s="28"/>
      <c r="D48" s="25"/>
      <c r="E48" s="25"/>
      <c r="F48" s="25"/>
      <c r="G48" s="25"/>
      <c r="H48" s="25"/>
      <c r="I48" s="25"/>
    </row>
    <row r="49" spans="1:9" x14ac:dyDescent="0.25">
      <c r="A49" s="24"/>
      <c r="B49" s="28"/>
      <c r="C49" s="28"/>
      <c r="D49" s="25"/>
      <c r="E49" s="25"/>
      <c r="F49" s="25"/>
      <c r="G49" s="25"/>
      <c r="H49" s="25"/>
      <c r="I49" s="25"/>
    </row>
    <row r="50" spans="1:9" x14ac:dyDescent="0.25">
      <c r="A50" s="24"/>
      <c r="B50" s="28"/>
      <c r="C50" s="28"/>
      <c r="D50" s="25"/>
      <c r="E50" s="25"/>
      <c r="F50" s="25"/>
      <c r="G50" s="25"/>
      <c r="H50" s="25"/>
      <c r="I50" s="25"/>
    </row>
    <row r="51" spans="1:9" x14ac:dyDescent="0.25">
      <c r="A51" s="24"/>
      <c r="B51" s="28"/>
      <c r="C51" s="28"/>
      <c r="D51" s="25"/>
      <c r="E51" s="25"/>
      <c r="F51" s="25"/>
      <c r="G51" s="25"/>
      <c r="H51" s="25"/>
      <c r="I51" s="25"/>
    </row>
    <row r="52" spans="1:9" x14ac:dyDescent="0.25">
      <c r="A52" s="24"/>
      <c r="B52" s="28"/>
      <c r="C52" s="28"/>
      <c r="D52" s="25"/>
      <c r="E52" s="25"/>
      <c r="F52" s="25"/>
      <c r="G52" s="25"/>
      <c r="H52" s="25"/>
      <c r="I52" s="25"/>
    </row>
    <row r="53" spans="1:9" x14ac:dyDescent="0.25">
      <c r="A53" s="24"/>
      <c r="B53" s="28"/>
      <c r="C53" s="28"/>
      <c r="D53" s="25"/>
      <c r="E53" s="25"/>
      <c r="F53" s="25"/>
      <c r="G53" s="25"/>
      <c r="H53" s="25"/>
      <c r="I53" s="25"/>
    </row>
    <row r="54" spans="1:9" x14ac:dyDescent="0.25">
      <c r="A54" s="24"/>
      <c r="B54" s="28"/>
      <c r="C54" s="28"/>
      <c r="D54" s="25"/>
      <c r="E54" s="25"/>
      <c r="F54" s="25"/>
      <c r="G54" s="25"/>
      <c r="H54" s="25"/>
      <c r="I54" s="25"/>
    </row>
    <row r="55" spans="1:9" x14ac:dyDescent="0.25">
      <c r="A55" s="24"/>
      <c r="B55" s="28"/>
      <c r="C55" s="28"/>
      <c r="D55" s="25"/>
      <c r="E55" s="25"/>
      <c r="F55" s="25"/>
      <c r="G55" s="25"/>
      <c r="H55" s="25"/>
      <c r="I55" s="25"/>
    </row>
    <row r="56" spans="1:9" x14ac:dyDescent="0.25">
      <c r="A56" s="24"/>
      <c r="B56" s="28"/>
      <c r="C56" s="28"/>
      <c r="D56" s="25"/>
      <c r="E56" s="25"/>
      <c r="F56" s="25"/>
      <c r="G56" s="25"/>
      <c r="H56" s="25"/>
      <c r="I56" s="25"/>
    </row>
    <row r="57" spans="1:9" x14ac:dyDescent="0.25">
      <c r="A57" s="24"/>
      <c r="B57" s="28"/>
      <c r="C57" s="28"/>
      <c r="D57" s="25"/>
      <c r="E57" s="25"/>
      <c r="F57" s="25"/>
      <c r="G57" s="25"/>
      <c r="H57" s="25"/>
      <c r="I57" s="25"/>
    </row>
    <row r="58" spans="1:9" x14ac:dyDescent="0.25">
      <c r="A58" s="24"/>
      <c r="B58" s="28"/>
      <c r="C58" s="28"/>
      <c r="D58" s="25"/>
      <c r="E58" s="25"/>
      <c r="F58" s="25"/>
      <c r="G58" s="25"/>
      <c r="H58" s="25"/>
      <c r="I58" s="25"/>
    </row>
    <row r="59" spans="1:9" x14ac:dyDescent="0.25">
      <c r="A59" s="24"/>
      <c r="B59" s="28"/>
      <c r="C59" s="28"/>
      <c r="D59" s="25"/>
      <c r="E59" s="25"/>
      <c r="F59" s="25"/>
      <c r="G59" s="25"/>
      <c r="H59" s="25"/>
      <c r="I59" s="25"/>
    </row>
    <row r="60" spans="1:9" x14ac:dyDescent="0.25">
      <c r="A60" s="24"/>
      <c r="B60" s="28"/>
      <c r="C60" s="28"/>
      <c r="D60" s="25"/>
      <c r="E60" s="25"/>
      <c r="F60" s="25"/>
      <c r="G60" s="25"/>
      <c r="H60" s="25"/>
      <c r="I60" s="25"/>
    </row>
    <row r="61" spans="1:9" x14ac:dyDescent="0.25">
      <c r="A61" s="24"/>
      <c r="B61" s="28"/>
      <c r="C61" s="28"/>
      <c r="D61" s="25"/>
      <c r="E61" s="25"/>
      <c r="F61" s="25"/>
      <c r="G61" s="25"/>
      <c r="H61" s="25"/>
      <c r="I61" s="25"/>
    </row>
    <row r="62" spans="1:9" x14ac:dyDescent="0.25">
      <c r="A62" s="24"/>
      <c r="B62" s="28"/>
      <c r="C62" s="28"/>
      <c r="D62" s="25"/>
      <c r="E62" s="25"/>
      <c r="F62" s="25"/>
      <c r="G62" s="25"/>
      <c r="H62" s="25"/>
      <c r="I62" s="25"/>
    </row>
    <row r="63" spans="1:9" x14ac:dyDescent="0.25">
      <c r="A63" s="24"/>
      <c r="B63" s="28"/>
      <c r="C63" s="28"/>
      <c r="D63" s="25"/>
      <c r="E63" s="25"/>
      <c r="F63" s="25"/>
      <c r="G63" s="25"/>
      <c r="H63" s="25"/>
      <c r="I63" s="25"/>
    </row>
    <row r="64" spans="1:9" x14ac:dyDescent="0.25">
      <c r="A64" s="24"/>
      <c r="B64" s="28"/>
      <c r="C64" s="28"/>
      <c r="D64" s="25"/>
      <c r="E64" s="25"/>
      <c r="F64" s="25"/>
      <c r="G64" s="25"/>
      <c r="H64" s="25"/>
      <c r="I64" s="25"/>
    </row>
    <row r="65" spans="1:9" x14ac:dyDescent="0.25">
      <c r="A65" s="24"/>
      <c r="B65" s="28"/>
      <c r="C65" s="28"/>
      <c r="D65" s="25"/>
      <c r="E65" s="25"/>
      <c r="F65" s="25"/>
      <c r="G65" s="25"/>
      <c r="H65" s="25"/>
      <c r="I65" s="25"/>
    </row>
    <row r="66" spans="1:9" x14ac:dyDescent="0.25">
      <c r="A66" s="24"/>
      <c r="B66" s="28"/>
      <c r="C66" s="28"/>
      <c r="D66" s="25"/>
      <c r="E66" s="25"/>
      <c r="F66" s="25"/>
      <c r="G66" s="25"/>
      <c r="H66" s="25"/>
      <c r="I66" s="25"/>
    </row>
    <row r="67" spans="1:9" x14ac:dyDescent="0.25">
      <c r="A67" s="24"/>
      <c r="B67" s="28"/>
      <c r="C67" s="28"/>
      <c r="D67" s="25"/>
      <c r="E67" s="25"/>
      <c r="F67" s="25"/>
      <c r="G67" s="25"/>
      <c r="H67" s="25"/>
      <c r="I67" s="25"/>
    </row>
    <row r="68" spans="1:9" x14ac:dyDescent="0.25">
      <c r="A68" s="24"/>
      <c r="B68" s="28"/>
      <c r="C68" s="28"/>
      <c r="D68" s="25"/>
      <c r="E68" s="25"/>
      <c r="F68" s="25"/>
      <c r="G68" s="25"/>
      <c r="H68" s="25"/>
      <c r="I68" s="25"/>
    </row>
    <row r="69" spans="1:9" x14ac:dyDescent="0.25">
      <c r="A69" s="24"/>
      <c r="B69" s="28"/>
      <c r="C69" s="28"/>
      <c r="D69" s="25"/>
      <c r="E69" s="25"/>
      <c r="F69" s="25"/>
      <c r="G69" s="25"/>
      <c r="H69" s="25"/>
      <c r="I69" s="25"/>
    </row>
    <row r="70" spans="1:9" x14ac:dyDescent="0.25">
      <c r="B70" s="28"/>
      <c r="C70" s="28"/>
      <c r="D70" s="25"/>
      <c r="E70" s="25"/>
      <c r="F70" s="25"/>
      <c r="G70" s="25"/>
      <c r="H70" s="25"/>
      <c r="I70" s="25"/>
    </row>
    <row r="71" spans="1:9" x14ac:dyDescent="0.25">
      <c r="B71" s="28"/>
      <c r="C71" s="28"/>
      <c r="D71" s="25"/>
      <c r="E71" s="25"/>
      <c r="F71" s="25"/>
      <c r="G71" s="25"/>
      <c r="H71" s="25"/>
      <c r="I71" s="25"/>
    </row>
    <row r="72" spans="1:9" x14ac:dyDescent="0.25">
      <c r="B72" s="28"/>
      <c r="C72" s="28"/>
      <c r="D72" s="25"/>
      <c r="E72" s="25"/>
      <c r="F72" s="25"/>
      <c r="G72" s="25"/>
      <c r="H72" s="25"/>
      <c r="I72" s="25"/>
    </row>
    <row r="73" spans="1:9" x14ac:dyDescent="0.25">
      <c r="B73" s="28"/>
      <c r="C73" s="28"/>
      <c r="D73" s="25"/>
      <c r="E73" s="25"/>
      <c r="F73" s="25"/>
      <c r="G73" s="25"/>
      <c r="H73" s="25"/>
      <c r="I73" s="25"/>
    </row>
    <row r="74" spans="1:9" x14ac:dyDescent="0.25">
      <c r="B74" s="28"/>
      <c r="C74" s="28"/>
      <c r="D74" s="25"/>
      <c r="E74" s="25"/>
      <c r="F74" s="25"/>
      <c r="G74" s="25"/>
      <c r="H74" s="25"/>
      <c r="I74" s="25"/>
    </row>
    <row r="75" spans="1:9" x14ac:dyDescent="0.25">
      <c r="B75" s="25"/>
      <c r="C75" s="25"/>
      <c r="D75" s="25"/>
      <c r="E75" s="25"/>
      <c r="F75" s="25"/>
      <c r="G75" s="25"/>
      <c r="H75" s="25"/>
      <c r="I75" s="25"/>
    </row>
    <row r="76" spans="1:9" x14ac:dyDescent="0.25">
      <c r="B76" s="25"/>
      <c r="C76" s="25"/>
      <c r="D76" s="25"/>
      <c r="E76" s="25"/>
      <c r="F76" s="25"/>
      <c r="G76" s="25"/>
      <c r="H76" s="25"/>
      <c r="I76" s="25"/>
    </row>
    <row r="77" spans="1:9" x14ac:dyDescent="0.25">
      <c r="B77" s="25"/>
      <c r="C77" s="25"/>
      <c r="D77" s="25"/>
      <c r="E77" s="25"/>
      <c r="F77" s="25"/>
      <c r="G77" s="25"/>
      <c r="H77" s="25"/>
      <c r="I77" s="25"/>
    </row>
    <row r="78" spans="1:9" x14ac:dyDescent="0.25">
      <c r="B78" s="25"/>
      <c r="C78" s="25"/>
      <c r="D78" s="25"/>
      <c r="E78" s="25"/>
      <c r="F78" s="25"/>
      <c r="G78" s="25"/>
      <c r="H78" s="25"/>
      <c r="I78" s="25"/>
    </row>
    <row r="79" spans="1:9" x14ac:dyDescent="0.25">
      <c r="B79" s="25"/>
      <c r="C79" s="25"/>
      <c r="D79" s="25"/>
      <c r="E79" s="25"/>
      <c r="F79" s="25"/>
      <c r="G79" s="25"/>
      <c r="H79" s="25"/>
      <c r="I79" s="25"/>
    </row>
    <row r="80" spans="1:9" x14ac:dyDescent="0.25">
      <c r="B80" s="25"/>
      <c r="C80" s="25"/>
      <c r="D80" s="25"/>
      <c r="E80" s="25"/>
      <c r="F80" s="25"/>
      <c r="G80" s="25"/>
      <c r="H80" s="25"/>
      <c r="I80" s="25"/>
    </row>
    <row r="81" spans="2:9" x14ac:dyDescent="0.25">
      <c r="B81" s="25"/>
      <c r="C81" s="25"/>
      <c r="D81" s="25"/>
      <c r="E81" s="25"/>
      <c r="F81" s="25"/>
      <c r="G81" s="25"/>
      <c r="H81" s="25"/>
      <c r="I81" s="25"/>
    </row>
    <row r="82" spans="2:9" x14ac:dyDescent="0.25">
      <c r="B82" s="25"/>
      <c r="C82" s="25"/>
      <c r="D82" s="25"/>
      <c r="E82" s="25"/>
      <c r="F82" s="25"/>
      <c r="G82" s="25"/>
      <c r="H82" s="25"/>
      <c r="I82" s="25"/>
    </row>
    <row r="83" spans="2:9" x14ac:dyDescent="0.25">
      <c r="B83" s="25"/>
      <c r="C83" s="25"/>
      <c r="D83" s="25"/>
      <c r="E83" s="25"/>
      <c r="F83" s="25"/>
      <c r="G83" s="25"/>
      <c r="H83" s="25"/>
      <c r="I83" s="25"/>
    </row>
    <row r="84" spans="2:9" x14ac:dyDescent="0.25">
      <c r="B84" s="25"/>
      <c r="C84" s="25"/>
      <c r="D84" s="25"/>
      <c r="E84" s="25"/>
      <c r="F84" s="25"/>
      <c r="G84" s="25"/>
      <c r="H84" s="25"/>
      <c r="I84" s="25"/>
    </row>
    <row r="85" spans="2:9" x14ac:dyDescent="0.25">
      <c r="B85" s="25"/>
      <c r="C85" s="25"/>
      <c r="D85" s="25"/>
      <c r="E85" s="25"/>
      <c r="F85" s="25"/>
      <c r="G85" s="25"/>
      <c r="H85" s="25"/>
      <c r="I85" s="25"/>
    </row>
    <row r="86" spans="2:9" x14ac:dyDescent="0.25">
      <c r="B86" s="25"/>
      <c r="C86" s="25"/>
      <c r="D86" s="25"/>
      <c r="E86" s="25"/>
      <c r="F86" s="25"/>
      <c r="G86" s="25"/>
      <c r="H86" s="25"/>
      <c r="I86" s="25"/>
    </row>
    <row r="87" spans="2:9" x14ac:dyDescent="0.25">
      <c r="B87" s="25"/>
      <c r="C87" s="25"/>
      <c r="D87" s="25"/>
      <c r="E87" s="25"/>
      <c r="F87" s="25"/>
      <c r="G87" s="25"/>
      <c r="H87" s="25"/>
      <c r="I87" s="25"/>
    </row>
    <row r="88" spans="2:9" x14ac:dyDescent="0.25">
      <c r="B88" s="25"/>
      <c r="C88" s="25"/>
      <c r="D88" s="25"/>
      <c r="E88" s="25"/>
      <c r="F88" s="25"/>
      <c r="G88" s="25"/>
      <c r="H88" s="25"/>
      <c r="I88" s="25"/>
    </row>
    <row r="89" spans="2:9" x14ac:dyDescent="0.25">
      <c r="B89" s="25"/>
      <c r="C89" s="25"/>
      <c r="D89" s="25"/>
      <c r="E89" s="25"/>
      <c r="F89" s="25"/>
      <c r="G89" s="25"/>
      <c r="H89" s="25"/>
      <c r="I89" s="25"/>
    </row>
    <row r="90" spans="2:9" x14ac:dyDescent="0.25">
      <c r="B90" s="25"/>
      <c r="C90" s="25"/>
      <c r="D90" s="25"/>
      <c r="E90" s="25"/>
      <c r="F90" s="25"/>
      <c r="G90" s="25"/>
      <c r="H90" s="25"/>
      <c r="I90" s="25"/>
    </row>
    <row r="91" spans="2:9" x14ac:dyDescent="0.25">
      <c r="B91" s="25"/>
      <c r="C91" s="25"/>
      <c r="D91" s="25"/>
      <c r="E91" s="25"/>
      <c r="F91" s="25"/>
      <c r="G91" s="25"/>
      <c r="H91" s="25"/>
      <c r="I91" s="25"/>
    </row>
    <row r="92" spans="2:9" x14ac:dyDescent="0.25">
      <c r="B92" s="25"/>
      <c r="C92" s="25"/>
      <c r="D92" s="25"/>
      <c r="E92" s="25"/>
      <c r="F92" s="25"/>
      <c r="G92" s="25"/>
      <c r="H92" s="25"/>
      <c r="I92" s="25"/>
    </row>
    <row r="93" spans="2:9" x14ac:dyDescent="0.25">
      <c r="B93" s="25"/>
      <c r="C93" s="25"/>
      <c r="D93" s="25"/>
      <c r="E93" s="25"/>
      <c r="F93" s="25"/>
      <c r="G93" s="25"/>
      <c r="H93" s="25"/>
      <c r="I93" s="25"/>
    </row>
    <row r="94" spans="2:9" x14ac:dyDescent="0.25">
      <c r="B94" s="25"/>
      <c r="C94" s="25"/>
      <c r="D94" s="25"/>
      <c r="E94" s="25"/>
      <c r="F94" s="25"/>
      <c r="G94" s="25"/>
      <c r="H94" s="25"/>
      <c r="I94" s="25"/>
    </row>
    <row r="95" spans="2:9" x14ac:dyDescent="0.25">
      <c r="B95" s="25"/>
      <c r="C95" s="25"/>
      <c r="D95" s="25"/>
      <c r="E95" s="25"/>
      <c r="F95" s="25"/>
      <c r="G95" s="25"/>
      <c r="H95" s="25"/>
      <c r="I95" s="25"/>
    </row>
    <row r="96" spans="2:9" x14ac:dyDescent="0.25">
      <c r="B96" s="25"/>
      <c r="C96" s="25"/>
      <c r="D96" s="25"/>
      <c r="E96" s="25"/>
      <c r="F96" s="25"/>
      <c r="G96" s="25"/>
      <c r="H96" s="25"/>
      <c r="I96" s="25"/>
    </row>
    <row r="97" spans="2:9" x14ac:dyDescent="0.25">
      <c r="B97" s="25"/>
      <c r="C97" s="25"/>
      <c r="D97" s="25"/>
      <c r="E97" s="25"/>
      <c r="F97" s="25"/>
      <c r="G97" s="25"/>
      <c r="H97" s="25"/>
      <c r="I97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/>
  </sheetViews>
  <sheetFormatPr defaultRowHeight="15" x14ac:dyDescent="0.25"/>
  <cols>
    <col min="1" max="1" width="14.5703125" customWidth="1"/>
    <col min="2" max="2" width="12.7109375" customWidth="1"/>
  </cols>
  <sheetData>
    <row r="2" spans="1:3" x14ac:dyDescent="0.25">
      <c r="A2" t="s">
        <v>37</v>
      </c>
      <c r="B2" t="s">
        <v>38</v>
      </c>
      <c r="C2" t="s">
        <v>40</v>
      </c>
    </row>
    <row r="3" spans="1:3" x14ac:dyDescent="0.25">
      <c r="C3" t="s">
        <v>41</v>
      </c>
    </row>
    <row r="4" spans="1:3" x14ac:dyDescent="0.25">
      <c r="C4" t="s">
        <v>42</v>
      </c>
    </row>
    <row r="5" spans="1:3" x14ac:dyDescent="0.25">
      <c r="C5" t="s">
        <v>43</v>
      </c>
    </row>
    <row r="6" spans="1:3" x14ac:dyDescent="0.25">
      <c r="C6" t="s">
        <v>44</v>
      </c>
    </row>
    <row r="7" spans="1:3" x14ac:dyDescent="0.25">
      <c r="C7" t="s">
        <v>48</v>
      </c>
    </row>
    <row r="8" spans="1:3" x14ac:dyDescent="0.25">
      <c r="B8" t="s">
        <v>39</v>
      </c>
      <c r="C8" t="s">
        <v>45</v>
      </c>
    </row>
    <row r="10" spans="1:3" x14ac:dyDescent="0.25">
      <c r="A10" t="s">
        <v>0</v>
      </c>
      <c r="B10" t="s">
        <v>3</v>
      </c>
    </row>
    <row r="11" spans="1:3" x14ac:dyDescent="0.25">
      <c r="A11" t="s">
        <v>1</v>
      </c>
      <c r="B11" t="s">
        <v>4</v>
      </c>
    </row>
    <row r="12" spans="1:3" x14ac:dyDescent="0.25">
      <c r="A12" t="s">
        <v>2</v>
      </c>
      <c r="B12" t="s">
        <v>46</v>
      </c>
    </row>
    <row r="13" spans="1:3" x14ac:dyDescent="0.25">
      <c r="A13" t="s">
        <v>47</v>
      </c>
      <c r="B13" t="s">
        <v>48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tabSelected="1" workbookViewId="0"/>
  </sheetViews>
  <sheetFormatPr defaultRowHeight="15" x14ac:dyDescent="0.25"/>
  <cols>
    <col min="2" max="2" width="69.5703125" customWidth="1"/>
  </cols>
  <sheetData>
    <row r="2" spans="1:2" x14ac:dyDescent="0.25">
      <c r="B2" s="3" t="s">
        <v>5</v>
      </c>
    </row>
    <row r="3" spans="1:2" x14ac:dyDescent="0.25">
      <c r="A3" s="25"/>
    </row>
    <row r="4" spans="1:2" x14ac:dyDescent="0.25">
      <c r="A4" s="25"/>
      <c r="B4" s="23" t="s">
        <v>6</v>
      </c>
    </row>
    <row r="5" spans="1:2" x14ac:dyDescent="0.25">
      <c r="A5" s="25"/>
      <c r="B5" s="23" t="s">
        <v>7</v>
      </c>
    </row>
    <row r="6" spans="1:2" x14ac:dyDescent="0.25">
      <c r="A6" s="25"/>
      <c r="B6" s="23" t="s">
        <v>8</v>
      </c>
    </row>
    <row r="7" spans="1:2" x14ac:dyDescent="0.25">
      <c r="A7" s="25"/>
      <c r="B7" s="25" t="s">
        <v>61</v>
      </c>
    </row>
    <row r="8" spans="1:2" x14ac:dyDescent="0.25">
      <c r="B8" s="25" t="s">
        <v>9</v>
      </c>
    </row>
    <row r="9" spans="1:2" x14ac:dyDescent="0.25">
      <c r="B9" s="23" t="s">
        <v>10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03"/>
  <sheetViews>
    <sheetView zoomScaleNormal="100" workbookViewId="0">
      <selection activeCell="X13" sqref="X13"/>
    </sheetView>
  </sheetViews>
  <sheetFormatPr defaultRowHeight="15" x14ac:dyDescent="0.25"/>
  <cols>
    <col min="3" max="3" width="14.140625" bestFit="1" customWidth="1"/>
    <col min="4" max="4" width="14.140625" customWidth="1"/>
    <col min="5" max="5" width="18.140625" customWidth="1"/>
    <col min="8" max="8" width="7.5703125" customWidth="1"/>
    <col min="11" max="11" width="3.7109375" bestFit="1" customWidth="1"/>
    <col min="12" max="21" width="7.7109375" customWidth="1"/>
  </cols>
  <sheetData>
    <row r="1" spans="2:23" ht="35.25" customHeight="1" x14ac:dyDescent="0.25">
      <c r="C1" s="94" t="s">
        <v>35</v>
      </c>
      <c r="D1" s="94"/>
      <c r="E1" s="94"/>
      <c r="F1" s="94"/>
      <c r="G1" s="94"/>
      <c r="H1" s="94"/>
      <c r="I1" s="94"/>
      <c r="J1" s="94"/>
      <c r="K1" s="95" t="s">
        <v>36</v>
      </c>
      <c r="L1" s="95"/>
      <c r="M1" s="95"/>
      <c r="N1" s="95"/>
      <c r="O1" s="95"/>
      <c r="P1" s="95"/>
      <c r="Q1" s="95"/>
      <c r="R1" s="95"/>
      <c r="S1" s="95"/>
      <c r="T1" s="95"/>
      <c r="U1" s="95"/>
    </row>
    <row r="2" spans="2:23" ht="48.75" customHeight="1" x14ac:dyDescent="0.25">
      <c r="C2" s="30"/>
      <c r="D2" s="30"/>
      <c r="E2" s="30"/>
      <c r="F2" s="30"/>
      <c r="G2" s="30"/>
      <c r="H2" s="30"/>
      <c r="I2" s="30"/>
      <c r="J2" s="30"/>
      <c r="K2" s="31"/>
      <c r="L2" s="96" t="s">
        <v>53</v>
      </c>
      <c r="M2" s="96"/>
      <c r="N2" s="97" t="s">
        <v>54</v>
      </c>
      <c r="O2" s="97"/>
      <c r="P2" s="98" t="s">
        <v>55</v>
      </c>
      <c r="Q2" s="98"/>
      <c r="R2" s="99" t="s">
        <v>63</v>
      </c>
      <c r="S2" s="99"/>
      <c r="T2" s="100" t="s">
        <v>56</v>
      </c>
      <c r="U2" s="100"/>
    </row>
    <row r="3" spans="2:23" ht="303" x14ac:dyDescent="0.25">
      <c r="B3" t="s">
        <v>11</v>
      </c>
      <c r="C3" s="2" t="s">
        <v>86</v>
      </c>
      <c r="D3" s="2" t="s">
        <v>49</v>
      </c>
      <c r="E3" s="2" t="s">
        <v>50</v>
      </c>
      <c r="F3" s="2" t="s">
        <v>62</v>
      </c>
      <c r="G3" s="2" t="s">
        <v>51</v>
      </c>
      <c r="H3" s="2" t="s">
        <v>52</v>
      </c>
      <c r="K3" s="4" t="s">
        <v>12</v>
      </c>
      <c r="L3" s="7" t="str">
        <f>C3</f>
        <v>Intenzita svetla (lx):</v>
      </c>
      <c r="M3" s="7" t="str">
        <f>H3</f>
        <v>Možstvo tryskinu v plode (%):</v>
      </c>
      <c r="N3" s="11" t="str">
        <f>D3</f>
        <v>Teplota nameraná v blizkosti (do 10 cm) zberaných plodov (°C):</v>
      </c>
      <c r="O3" s="11" t="str">
        <f>H3</f>
        <v>Možstvo tryskinu v plode (%):</v>
      </c>
      <c r="P3" s="14" t="str">
        <f>E3</f>
        <v>Vlhkosť pôdy v hĺbke 10 cm (%):</v>
      </c>
      <c r="Q3" s="14" t="str">
        <f>H3</f>
        <v>Možstvo tryskinu v plode (%):</v>
      </c>
      <c r="R3" s="16" t="str">
        <f>F3</f>
        <v>pH pôdy:</v>
      </c>
      <c r="S3" s="16" t="str">
        <f>H3</f>
        <v>Možstvo tryskinu v plode (%):</v>
      </c>
      <c r="T3" s="19" t="str">
        <f>G3</f>
        <v>Hmotnosť plodu (g):</v>
      </c>
      <c r="U3" s="19" t="str">
        <f>H3</f>
        <v>Možstvo tryskinu v plode (%):</v>
      </c>
      <c r="V3" s="10"/>
      <c r="W3" s="10"/>
    </row>
    <row r="4" spans="2:23" x14ac:dyDescent="0.25">
      <c r="B4" s="1">
        <v>1</v>
      </c>
      <c r="C4">
        <f t="shared" ref="C4:C35" ca="1" si="0">IF(RANDBETWEEN(1,3)=1,RANDBETWEEN(1000000,10000000)/100,IF(RANDBETWEEN(1,2)=1,RANDBETWEEN(1000,1000000)/100,RANDBETWEEN(0,1000)/100))</f>
        <v>40100.93</v>
      </c>
      <c r="D4">
        <f t="shared" ref="D4:D35" ca="1" si="1">RANDBETWEEN(-1000,4000)/100</f>
        <v>25.38</v>
      </c>
      <c r="E4" s="5">
        <f t="shared" ref="E4:E35" ca="1" si="2">RANDBETWEEN(0,9000)/10000</f>
        <v>0.57089999999999996</v>
      </c>
      <c r="F4">
        <f t="shared" ref="F4:F35" ca="1" si="3">RANDBETWEEN(200,1000)/100</f>
        <v>6.39</v>
      </c>
      <c r="G4">
        <f t="shared" ref="G4:G35" ca="1" si="4">RANDBETWEEN(500,5000)/100</f>
        <v>20.09</v>
      </c>
      <c r="H4" s="6">
        <f t="shared" ref="H4:H35" ca="1" si="5">(0.33*C4/100000)+(10-F4)/8*0.33</f>
        <v>0.28124556900000008</v>
      </c>
      <c r="K4">
        <v>1</v>
      </c>
      <c r="L4" s="8">
        <f t="shared" ref="L4:L35" ca="1" si="6">SMALL($C$4:$C$53,K4)</f>
        <v>1.03</v>
      </c>
      <c r="M4" s="9">
        <f t="shared" ref="M4:M35" ca="1" si="7">VLOOKUP(L4,$C$4:$H$103,6,FALSE)</f>
        <v>4.4553399000000007E-2</v>
      </c>
      <c r="N4" s="12">
        <f t="shared" ref="N4:N35" ca="1" si="8">SMALL($D$4:$D$103,K4)</f>
        <v>-9.6</v>
      </c>
      <c r="O4" s="13">
        <f t="shared" ref="O4:O35" ca="1" si="9">VLOOKUP(N4,$D$4:$H$103,5,FALSE)</f>
        <v>0.26339890500000002</v>
      </c>
      <c r="P4" s="22">
        <f t="shared" ref="P4:P35" ca="1" si="10">SMALL($E$4:$E$103,K4)</f>
        <v>3.4099999999999998E-2</v>
      </c>
      <c r="Q4" s="15">
        <f t="shared" ref="Q4:Q35" ca="1" si="11">VLOOKUP(P4,$E$4:$H$103,4,FALSE)</f>
        <v>9.6196716000000043E-2</v>
      </c>
      <c r="R4" s="17">
        <f t="shared" ref="R4:R35" ca="1" si="12">SMALL($F$4:$F$103,K4)</f>
        <v>2.0099999999999998</v>
      </c>
      <c r="S4" s="18">
        <f t="shared" ref="S4:S35" ca="1" si="13">VLOOKUP(R4,$F$4:$H$103,3,FALSE)</f>
        <v>0.5589276660000001</v>
      </c>
      <c r="T4" s="20">
        <f t="shared" ref="T4:T35" ca="1" si="14">SMALL($G$4:$G$103,K4)</f>
        <v>6.43</v>
      </c>
      <c r="U4" s="21">
        <f t="shared" ref="U4:U35" ca="1" si="15">VLOOKUP(T4,$G$4:$H$103,2,FALSE)</f>
        <v>6.0662151000000032E-2</v>
      </c>
    </row>
    <row r="5" spans="2:23" x14ac:dyDescent="0.25">
      <c r="B5" s="1">
        <v>2</v>
      </c>
      <c r="C5">
        <f t="shared" ca="1" si="0"/>
        <v>9171.91</v>
      </c>
      <c r="D5">
        <f t="shared" ca="1" si="1"/>
        <v>-2.69</v>
      </c>
      <c r="E5" s="5">
        <f t="shared" ca="1" si="2"/>
        <v>0.2172</v>
      </c>
      <c r="F5">
        <f t="shared" ca="1" si="3"/>
        <v>8.0500000000000007</v>
      </c>
      <c r="G5">
        <f t="shared" ca="1" si="4"/>
        <v>42.78</v>
      </c>
      <c r="H5" s="6">
        <f t="shared" ca="1" si="5"/>
        <v>0.11070480299999999</v>
      </c>
      <c r="K5">
        <v>2</v>
      </c>
      <c r="L5" s="8">
        <f t="shared" ca="1" si="6"/>
        <v>1.48</v>
      </c>
      <c r="M5" s="9">
        <f t="shared" ca="1" si="7"/>
        <v>0.227704884</v>
      </c>
      <c r="N5" s="12">
        <f t="shared" ca="1" si="8"/>
        <v>-9.6</v>
      </c>
      <c r="O5" s="13">
        <f t="shared" ca="1" si="9"/>
        <v>0.26339890500000002</v>
      </c>
      <c r="P5" s="22">
        <f t="shared" ca="1" si="10"/>
        <v>3.4099999999999998E-2</v>
      </c>
      <c r="Q5" s="15">
        <f t="shared" ca="1" si="11"/>
        <v>9.6196716000000043E-2</v>
      </c>
      <c r="R5" s="17">
        <f t="shared" ca="1" si="12"/>
        <v>2.0099999999999998</v>
      </c>
      <c r="S5" s="18">
        <f t="shared" ca="1" si="13"/>
        <v>0.5589276660000001</v>
      </c>
      <c r="T5" s="20">
        <f t="shared" ca="1" si="14"/>
        <v>6.43</v>
      </c>
      <c r="U5" s="21">
        <f t="shared" ca="1" si="15"/>
        <v>6.0662151000000032E-2</v>
      </c>
    </row>
    <row r="6" spans="2:23" x14ac:dyDescent="0.25">
      <c r="B6" s="1">
        <v>3</v>
      </c>
      <c r="C6">
        <f t="shared" ca="1" si="0"/>
        <v>72545.2</v>
      </c>
      <c r="D6">
        <f t="shared" ca="1" si="1"/>
        <v>5.61</v>
      </c>
      <c r="E6" s="5">
        <f t="shared" ca="1" si="2"/>
        <v>0.1414</v>
      </c>
      <c r="F6">
        <f t="shared" ca="1" si="3"/>
        <v>2.2599999999999998</v>
      </c>
      <c r="G6">
        <f t="shared" ca="1" si="4"/>
        <v>23.48</v>
      </c>
      <c r="H6" s="6">
        <f t="shared" ca="1" si="5"/>
        <v>0.55867416000000003</v>
      </c>
      <c r="K6">
        <v>3</v>
      </c>
      <c r="L6" s="8">
        <f t="shared" ca="1" si="6"/>
        <v>2.3199999999999998</v>
      </c>
      <c r="M6" s="9">
        <f t="shared" ca="1" si="7"/>
        <v>0.118807656</v>
      </c>
      <c r="N6" s="12">
        <f t="shared" ca="1" si="8"/>
        <v>-9.52</v>
      </c>
      <c r="O6" s="13">
        <f t="shared" ca="1" si="9"/>
        <v>0.204581289</v>
      </c>
      <c r="P6" s="22">
        <f t="shared" ca="1" si="10"/>
        <v>3.56E-2</v>
      </c>
      <c r="Q6" s="15">
        <f t="shared" ca="1" si="11"/>
        <v>0.17996388300000005</v>
      </c>
      <c r="R6" s="17">
        <f t="shared" ca="1" si="12"/>
        <v>2.0699999999999998</v>
      </c>
      <c r="S6" s="18">
        <f t="shared" ca="1" si="13"/>
        <v>0.50861302800000008</v>
      </c>
      <c r="T6" s="20">
        <f t="shared" ca="1" si="14"/>
        <v>6.71</v>
      </c>
      <c r="U6" s="21">
        <f t="shared" ca="1" si="15"/>
        <v>0.16194984300000001</v>
      </c>
    </row>
    <row r="7" spans="2:23" x14ac:dyDescent="0.25">
      <c r="B7" s="1">
        <v>4</v>
      </c>
      <c r="C7">
        <f t="shared" ca="1" si="0"/>
        <v>2256.0700000000002</v>
      </c>
      <c r="D7">
        <f t="shared" ca="1" si="1"/>
        <v>13.21</v>
      </c>
      <c r="E7" s="5">
        <f t="shared" ca="1" si="2"/>
        <v>0.2928</v>
      </c>
      <c r="F7">
        <f t="shared" ca="1" si="3"/>
        <v>6.17</v>
      </c>
      <c r="G7">
        <f t="shared" ca="1" si="4"/>
        <v>21.11</v>
      </c>
      <c r="H7" s="6">
        <f t="shared" ca="1" si="5"/>
        <v>0.16543253099999999</v>
      </c>
      <c r="K7">
        <v>4</v>
      </c>
      <c r="L7" s="8">
        <f t="shared" ca="1" si="6"/>
        <v>2.75</v>
      </c>
      <c r="M7" s="9">
        <f t="shared" ca="1" si="7"/>
        <v>0.13489657499999999</v>
      </c>
      <c r="N7" s="12">
        <f t="shared" ca="1" si="8"/>
        <v>-8.81</v>
      </c>
      <c r="O7" s="13">
        <f t="shared" ca="1" si="9"/>
        <v>0.5589276660000001</v>
      </c>
      <c r="P7" s="22">
        <f t="shared" ca="1" si="10"/>
        <v>5.96E-2</v>
      </c>
      <c r="Q7" s="15">
        <f t="shared" ca="1" si="11"/>
        <v>0.41536925099999999</v>
      </c>
      <c r="R7" s="17">
        <f t="shared" ca="1" si="12"/>
        <v>2.16</v>
      </c>
      <c r="S7" s="18">
        <f t="shared" ca="1" si="13"/>
        <v>0.57033009000000001</v>
      </c>
      <c r="T7" s="20">
        <f t="shared" ca="1" si="14"/>
        <v>7.5</v>
      </c>
      <c r="U7" s="21">
        <f t="shared" ca="1" si="15"/>
        <v>0.118807656</v>
      </c>
    </row>
    <row r="8" spans="2:23" x14ac:dyDescent="0.25">
      <c r="B8" s="1">
        <v>5</v>
      </c>
      <c r="C8">
        <f t="shared" ca="1" si="0"/>
        <v>86450.5</v>
      </c>
      <c r="D8">
        <f t="shared" ca="1" si="1"/>
        <v>-5.08</v>
      </c>
      <c r="E8" s="5">
        <f t="shared" ca="1" si="2"/>
        <v>0.64680000000000004</v>
      </c>
      <c r="F8">
        <f t="shared" ca="1" si="3"/>
        <v>3.29</v>
      </c>
      <c r="G8">
        <f t="shared" ca="1" si="4"/>
        <v>33.69</v>
      </c>
      <c r="H8" s="6">
        <f t="shared" ca="1" si="5"/>
        <v>0.56207415000000005</v>
      </c>
      <c r="K8">
        <v>5</v>
      </c>
      <c r="L8" s="8">
        <f t="shared" ca="1" si="6"/>
        <v>3.27</v>
      </c>
      <c r="M8" s="9">
        <f t="shared" ca="1" si="7"/>
        <v>0.13737329100000001</v>
      </c>
      <c r="N8" s="12">
        <f t="shared" ca="1" si="8"/>
        <v>-8.74</v>
      </c>
      <c r="O8" s="13">
        <f t="shared" ca="1" si="9"/>
        <v>0.12252500699999999</v>
      </c>
      <c r="P8" s="22">
        <f t="shared" ca="1" si="10"/>
        <v>6.0999999999999999E-2</v>
      </c>
      <c r="Q8" s="15">
        <f t="shared" ca="1" si="11"/>
        <v>0.21673165800000002</v>
      </c>
      <c r="R8" s="17">
        <f t="shared" ca="1" si="12"/>
        <v>2.2599999999999998</v>
      </c>
      <c r="S8" s="18">
        <f t="shared" ca="1" si="13"/>
        <v>0.55867416000000003</v>
      </c>
      <c r="T8" s="20">
        <f t="shared" ca="1" si="14"/>
        <v>8.25</v>
      </c>
      <c r="U8" s="21">
        <f t="shared" ca="1" si="15"/>
        <v>0.50762457900000002</v>
      </c>
    </row>
    <row r="9" spans="2:23" x14ac:dyDescent="0.25">
      <c r="B9" s="1">
        <v>6</v>
      </c>
      <c r="C9">
        <f t="shared" ca="1" si="0"/>
        <v>54619.47</v>
      </c>
      <c r="D9">
        <f t="shared" ca="1" si="1"/>
        <v>34.130000000000003</v>
      </c>
      <c r="E9" s="5">
        <f t="shared" ca="1" si="2"/>
        <v>5.96E-2</v>
      </c>
      <c r="F9">
        <f t="shared" ca="1" si="3"/>
        <v>4.3</v>
      </c>
      <c r="G9">
        <f t="shared" ca="1" si="4"/>
        <v>8.64</v>
      </c>
      <c r="H9" s="6">
        <f t="shared" ca="1" si="5"/>
        <v>0.41536925099999999</v>
      </c>
      <c r="K9">
        <v>6</v>
      </c>
      <c r="L9" s="8">
        <f t="shared" ca="1" si="6"/>
        <v>3.79</v>
      </c>
      <c r="M9" s="9">
        <f t="shared" ca="1" si="7"/>
        <v>0.12252500699999999</v>
      </c>
      <c r="N9" s="12">
        <f t="shared" ca="1" si="8"/>
        <v>-8.4600000000000009</v>
      </c>
      <c r="O9" s="13">
        <f t="shared" ca="1" si="9"/>
        <v>0.13489657499999999</v>
      </c>
      <c r="P9" s="22">
        <f t="shared" ca="1" si="10"/>
        <v>7.7399999999999997E-2</v>
      </c>
      <c r="Q9" s="15">
        <f t="shared" ca="1" si="11"/>
        <v>0.26339890500000002</v>
      </c>
      <c r="R9" s="17">
        <f t="shared" ca="1" si="12"/>
        <v>2.38</v>
      </c>
      <c r="S9" s="18">
        <f t="shared" ca="1" si="13"/>
        <v>0.346589166</v>
      </c>
      <c r="T9" s="20">
        <f t="shared" ca="1" si="14"/>
        <v>8.64</v>
      </c>
      <c r="U9" s="21">
        <f t="shared" ca="1" si="15"/>
        <v>0.41536925099999999</v>
      </c>
    </row>
    <row r="10" spans="2:23" x14ac:dyDescent="0.25">
      <c r="B10" s="1">
        <v>7</v>
      </c>
      <c r="C10">
        <f t="shared" ca="1" si="0"/>
        <v>5.56</v>
      </c>
      <c r="D10">
        <f t="shared" ca="1" si="1"/>
        <v>17.579999999999998</v>
      </c>
      <c r="E10" s="5">
        <f t="shared" ca="1" si="2"/>
        <v>0.21490000000000001</v>
      </c>
      <c r="F10">
        <f t="shared" ca="1" si="3"/>
        <v>9.1999999999999993</v>
      </c>
      <c r="G10">
        <f t="shared" ca="1" si="4"/>
        <v>34.97</v>
      </c>
      <c r="H10" s="6">
        <f t="shared" ca="1" si="5"/>
        <v>3.3018348000000031E-2</v>
      </c>
      <c r="K10">
        <v>7</v>
      </c>
      <c r="L10" s="8">
        <f t="shared" ca="1" si="6"/>
        <v>3.98</v>
      </c>
      <c r="M10" s="9">
        <f t="shared" ca="1" si="7"/>
        <v>0.171613134</v>
      </c>
      <c r="N10" s="12">
        <f t="shared" ca="1" si="8"/>
        <v>-6.75</v>
      </c>
      <c r="O10" s="13">
        <f t="shared" ca="1" si="9"/>
        <v>0.35994264900000006</v>
      </c>
      <c r="P10" s="22">
        <f t="shared" ca="1" si="10"/>
        <v>8.3900000000000002E-2</v>
      </c>
      <c r="Q10" s="15">
        <f t="shared" ca="1" si="11"/>
        <v>0.21516211200000002</v>
      </c>
      <c r="R10" s="17">
        <f t="shared" ca="1" si="12"/>
        <v>2.4300000000000002</v>
      </c>
      <c r="S10" s="18">
        <f t="shared" ca="1" si="13"/>
        <v>0.32453549700000006</v>
      </c>
      <c r="T10" s="20">
        <f t="shared" ca="1" si="14"/>
        <v>9.09</v>
      </c>
      <c r="U10" s="21">
        <f t="shared" ca="1" si="15"/>
        <v>0.50861302800000008</v>
      </c>
    </row>
    <row r="11" spans="2:23" x14ac:dyDescent="0.25">
      <c r="B11" s="1">
        <v>8</v>
      </c>
      <c r="C11">
        <f t="shared" ca="1" si="0"/>
        <v>74827.3</v>
      </c>
      <c r="D11">
        <f t="shared" ca="1" si="1"/>
        <v>-0.13</v>
      </c>
      <c r="E11" s="5">
        <f t="shared" ca="1" si="2"/>
        <v>9.6600000000000005E-2</v>
      </c>
      <c r="F11">
        <f t="shared" ca="1" si="3"/>
        <v>2.16</v>
      </c>
      <c r="G11">
        <f t="shared" ca="1" si="4"/>
        <v>48.76</v>
      </c>
      <c r="H11" s="6">
        <f t="shared" ca="1" si="5"/>
        <v>0.57033009000000001</v>
      </c>
      <c r="K11">
        <v>8</v>
      </c>
      <c r="L11" s="8">
        <f t="shared" ca="1" si="6"/>
        <v>5.45</v>
      </c>
      <c r="M11" s="9">
        <f t="shared" ca="1" si="7"/>
        <v>3.7304849999999943E-3</v>
      </c>
      <c r="N11" s="12">
        <f t="shared" ca="1" si="8"/>
        <v>-5.08</v>
      </c>
      <c r="O11" s="13">
        <f t="shared" ca="1" si="9"/>
        <v>0.56207415000000005</v>
      </c>
      <c r="P11" s="22">
        <f t="shared" ca="1" si="10"/>
        <v>9.6600000000000005E-2</v>
      </c>
      <c r="Q11" s="15">
        <f t="shared" ca="1" si="11"/>
        <v>0.57033009000000001</v>
      </c>
      <c r="R11" s="17">
        <f t="shared" ca="1" si="12"/>
        <v>2.5499999999999998</v>
      </c>
      <c r="S11" s="18">
        <f t="shared" ca="1" si="13"/>
        <v>0.50762457900000002</v>
      </c>
      <c r="T11" s="20">
        <f t="shared" ca="1" si="14"/>
        <v>10.57</v>
      </c>
      <c r="U11" s="21">
        <f t="shared" ca="1" si="15"/>
        <v>0.570855153</v>
      </c>
    </row>
    <row r="12" spans="2:23" x14ac:dyDescent="0.25">
      <c r="B12" s="1">
        <v>9</v>
      </c>
      <c r="C12">
        <f t="shared" ca="1" si="0"/>
        <v>65945.009999999995</v>
      </c>
      <c r="D12">
        <f t="shared" ca="1" si="1"/>
        <v>0.39</v>
      </c>
      <c r="E12" s="5">
        <f t="shared" ca="1" si="2"/>
        <v>0.54590000000000005</v>
      </c>
      <c r="F12">
        <f t="shared" ca="1" si="3"/>
        <v>3.9</v>
      </c>
      <c r="G12">
        <f t="shared" ca="1" si="4"/>
        <v>43.05</v>
      </c>
      <c r="H12" s="6">
        <f t="shared" ca="1" si="5"/>
        <v>0.46924353299999999</v>
      </c>
      <c r="K12">
        <v>9</v>
      </c>
      <c r="L12" s="8">
        <f t="shared" ca="1" si="6"/>
        <v>5.56</v>
      </c>
      <c r="M12" s="9">
        <f t="shared" ca="1" si="7"/>
        <v>3.3018348000000031E-2</v>
      </c>
      <c r="N12" s="12">
        <f t="shared" ca="1" si="8"/>
        <v>-2.69</v>
      </c>
      <c r="O12" s="13">
        <f t="shared" ca="1" si="9"/>
        <v>0.11070480299999999</v>
      </c>
      <c r="P12" s="22">
        <f t="shared" ca="1" si="10"/>
        <v>0.1295</v>
      </c>
      <c r="Q12" s="15">
        <f t="shared" ca="1" si="11"/>
        <v>0.29107296899999996</v>
      </c>
      <c r="R12" s="17">
        <f t="shared" ca="1" si="12"/>
        <v>3.18</v>
      </c>
      <c r="S12" s="18">
        <f t="shared" ca="1" si="13"/>
        <v>0.29046507600000004</v>
      </c>
      <c r="T12" s="20">
        <f t="shared" ca="1" si="14"/>
        <v>11.17</v>
      </c>
      <c r="U12" s="21">
        <f t="shared" ca="1" si="15"/>
        <v>0.236860668</v>
      </c>
    </row>
    <row r="13" spans="2:23" x14ac:dyDescent="0.25">
      <c r="B13" s="1">
        <v>10</v>
      </c>
      <c r="C13">
        <f t="shared" ca="1" si="0"/>
        <v>55000.160000000003</v>
      </c>
      <c r="D13">
        <f t="shared" ca="1" si="1"/>
        <v>23.16</v>
      </c>
      <c r="E13" s="5">
        <f t="shared" ca="1" si="2"/>
        <v>0.86799999999999999</v>
      </c>
      <c r="F13">
        <f t="shared" ca="1" si="3"/>
        <v>2.0699999999999998</v>
      </c>
      <c r="G13">
        <f t="shared" ca="1" si="4"/>
        <v>9.09</v>
      </c>
      <c r="H13" s="6">
        <f t="shared" ca="1" si="5"/>
        <v>0.50861302800000008</v>
      </c>
      <c r="K13">
        <v>10</v>
      </c>
      <c r="L13" s="8">
        <f t="shared" ca="1" si="6"/>
        <v>5.61</v>
      </c>
      <c r="M13" s="9">
        <f t="shared" ca="1" si="7"/>
        <v>0.22978101300000003</v>
      </c>
      <c r="N13" s="12">
        <f t="shared" ca="1" si="8"/>
        <v>-0.13</v>
      </c>
      <c r="O13" s="13">
        <f t="shared" ca="1" si="9"/>
        <v>0.57033009000000001</v>
      </c>
      <c r="P13" s="22">
        <f t="shared" ca="1" si="10"/>
        <v>0.1414</v>
      </c>
      <c r="Q13" s="15">
        <f t="shared" ca="1" si="11"/>
        <v>0.55867416000000003</v>
      </c>
      <c r="R13" s="17">
        <f t="shared" ca="1" si="12"/>
        <v>3.29</v>
      </c>
      <c r="S13" s="18">
        <f t="shared" ca="1" si="13"/>
        <v>0.56207415000000005</v>
      </c>
      <c r="T13" s="20">
        <f t="shared" ca="1" si="14"/>
        <v>11.51</v>
      </c>
      <c r="U13" s="21">
        <f t="shared" ca="1" si="15"/>
        <v>0.35994264900000006</v>
      </c>
    </row>
    <row r="14" spans="2:23" x14ac:dyDescent="0.25">
      <c r="B14" s="1">
        <v>11</v>
      </c>
      <c r="C14">
        <f t="shared" ca="1" si="0"/>
        <v>5950.71</v>
      </c>
      <c r="D14">
        <f t="shared" ca="1" si="1"/>
        <v>37.72</v>
      </c>
      <c r="E14" s="5">
        <f t="shared" ca="1" si="2"/>
        <v>0.2777</v>
      </c>
      <c r="F14">
        <f t="shared" ca="1" si="3"/>
        <v>6.55</v>
      </c>
      <c r="G14">
        <f t="shared" ca="1" si="4"/>
        <v>6.71</v>
      </c>
      <c r="H14" s="6">
        <f t="shared" ca="1" si="5"/>
        <v>0.16194984300000001</v>
      </c>
      <c r="K14">
        <v>11</v>
      </c>
      <c r="L14" s="8">
        <f t="shared" ca="1" si="6"/>
        <v>7.47</v>
      </c>
      <c r="M14" s="9">
        <f t="shared" ca="1" si="7"/>
        <v>6.0662151000000032E-2</v>
      </c>
      <c r="N14" s="12">
        <f t="shared" ca="1" si="8"/>
        <v>0.39</v>
      </c>
      <c r="O14" s="13">
        <f t="shared" ca="1" si="9"/>
        <v>0.46924353299999999</v>
      </c>
      <c r="P14" s="22">
        <f t="shared" ca="1" si="10"/>
        <v>0.18140000000000001</v>
      </c>
      <c r="Q14" s="15">
        <f t="shared" ca="1" si="11"/>
        <v>0.24761160600000001</v>
      </c>
      <c r="R14" s="17">
        <f t="shared" ca="1" si="12"/>
        <v>3.64</v>
      </c>
      <c r="S14" s="18">
        <f t="shared" ca="1" si="13"/>
        <v>0.29107296899999996</v>
      </c>
      <c r="T14" s="20">
        <f t="shared" ca="1" si="14"/>
        <v>11.97</v>
      </c>
      <c r="U14" s="21">
        <f t="shared" ca="1" si="15"/>
        <v>3.7304849999999943E-3</v>
      </c>
    </row>
    <row r="15" spans="2:23" x14ac:dyDescent="0.25">
      <c r="B15" s="1">
        <v>12</v>
      </c>
      <c r="C15">
        <f t="shared" ca="1" si="0"/>
        <v>7.47</v>
      </c>
      <c r="D15">
        <f t="shared" ca="1" si="1"/>
        <v>3.17</v>
      </c>
      <c r="E15" s="5">
        <f t="shared" ca="1" si="2"/>
        <v>0.80869999999999997</v>
      </c>
      <c r="F15">
        <f t="shared" ca="1" si="3"/>
        <v>8.5299999999999994</v>
      </c>
      <c r="G15">
        <f t="shared" ca="1" si="4"/>
        <v>6.43</v>
      </c>
      <c r="H15" s="6">
        <f t="shared" ca="1" si="5"/>
        <v>6.0662151000000032E-2</v>
      </c>
      <c r="K15">
        <v>12</v>
      </c>
      <c r="L15" s="8">
        <f t="shared" ca="1" si="6"/>
        <v>7.48</v>
      </c>
      <c r="M15" s="9">
        <f t="shared" ca="1" si="7"/>
        <v>0.21122468400000002</v>
      </c>
      <c r="N15" s="12">
        <f t="shared" ca="1" si="8"/>
        <v>0.75</v>
      </c>
      <c r="O15" s="13">
        <f t="shared" ca="1" si="9"/>
        <v>8.2945070999999995E-2</v>
      </c>
      <c r="P15" s="22">
        <f t="shared" ca="1" si="10"/>
        <v>0.20319999999999999</v>
      </c>
      <c r="Q15" s="15">
        <f t="shared" ca="1" si="11"/>
        <v>4.4553399000000007E-2</v>
      </c>
      <c r="R15" s="17">
        <f t="shared" ca="1" si="12"/>
        <v>3.9</v>
      </c>
      <c r="S15" s="18">
        <f t="shared" ca="1" si="13"/>
        <v>0.46924353299999999</v>
      </c>
      <c r="T15" s="20">
        <f t="shared" ca="1" si="14"/>
        <v>12.83</v>
      </c>
      <c r="U15" s="21">
        <f t="shared" ca="1" si="15"/>
        <v>0.346589166</v>
      </c>
    </row>
    <row r="16" spans="2:23" x14ac:dyDescent="0.25">
      <c r="B16" s="1">
        <v>13</v>
      </c>
      <c r="C16">
        <f t="shared" ca="1" si="0"/>
        <v>5.61</v>
      </c>
      <c r="D16">
        <f t="shared" ca="1" si="1"/>
        <v>16.18</v>
      </c>
      <c r="E16" s="5">
        <f t="shared" ca="1" si="2"/>
        <v>0.73499999999999999</v>
      </c>
      <c r="F16">
        <f t="shared" ca="1" si="3"/>
        <v>4.43</v>
      </c>
      <c r="G16">
        <f t="shared" ca="1" si="4"/>
        <v>48.73</v>
      </c>
      <c r="H16" s="6">
        <f t="shared" ca="1" si="5"/>
        <v>0.22978101300000003</v>
      </c>
      <c r="K16">
        <v>13</v>
      </c>
      <c r="L16" s="8">
        <f t="shared" ca="1" si="6"/>
        <v>9.8699999999999992</v>
      </c>
      <c r="M16" s="9">
        <f t="shared" ca="1" si="7"/>
        <v>8.2945070999999995E-2</v>
      </c>
      <c r="N16" s="12">
        <f t="shared" ca="1" si="8"/>
        <v>1.88</v>
      </c>
      <c r="O16" s="13">
        <f t="shared" ca="1" si="9"/>
        <v>0.346589166</v>
      </c>
      <c r="P16" s="22">
        <f t="shared" ca="1" si="10"/>
        <v>0.21490000000000001</v>
      </c>
      <c r="Q16" s="15">
        <f t="shared" ca="1" si="11"/>
        <v>3.3018348000000031E-2</v>
      </c>
      <c r="R16" s="17">
        <f t="shared" ca="1" si="12"/>
        <v>4.05</v>
      </c>
      <c r="S16" s="18">
        <f t="shared" ca="1" si="13"/>
        <v>0.26339890500000002</v>
      </c>
      <c r="T16" s="20">
        <f t="shared" ca="1" si="14"/>
        <v>13.46</v>
      </c>
      <c r="U16" s="21">
        <f t="shared" ca="1" si="15"/>
        <v>6.2881961999999972E-2</v>
      </c>
    </row>
    <row r="17" spans="2:21" x14ac:dyDescent="0.25">
      <c r="B17" s="1">
        <v>14</v>
      </c>
      <c r="C17">
        <f t="shared" ca="1" si="0"/>
        <v>1034.98</v>
      </c>
      <c r="D17">
        <f t="shared" ca="1" si="1"/>
        <v>11.03</v>
      </c>
      <c r="E17" s="5">
        <f t="shared" ca="1" si="2"/>
        <v>0.26200000000000001</v>
      </c>
      <c r="F17">
        <f t="shared" ca="1" si="3"/>
        <v>4.8899999999999997</v>
      </c>
      <c r="G17">
        <f t="shared" ca="1" si="4"/>
        <v>17.09</v>
      </c>
      <c r="H17" s="6">
        <f t="shared" ca="1" si="5"/>
        <v>0.21420293400000001</v>
      </c>
      <c r="K17">
        <v>14</v>
      </c>
      <c r="L17" s="8">
        <f t="shared" ca="1" si="6"/>
        <v>425.73</v>
      </c>
      <c r="M17" s="9">
        <f t="shared" ca="1" si="7"/>
        <v>0.21631740900000002</v>
      </c>
      <c r="N17" s="12">
        <f t="shared" ca="1" si="8"/>
        <v>2.48</v>
      </c>
      <c r="O17" s="13">
        <f t="shared" ca="1" si="9"/>
        <v>0.21122468400000002</v>
      </c>
      <c r="P17" s="22">
        <f t="shared" ca="1" si="10"/>
        <v>0.2172</v>
      </c>
      <c r="Q17" s="15">
        <f t="shared" ca="1" si="11"/>
        <v>0.11070480299999999</v>
      </c>
      <c r="R17" s="17">
        <f t="shared" ca="1" si="12"/>
        <v>4.1100000000000003</v>
      </c>
      <c r="S17" s="18">
        <f t="shared" ca="1" si="13"/>
        <v>0.55133057099999994</v>
      </c>
      <c r="T17" s="20">
        <f t="shared" ca="1" si="14"/>
        <v>14.01</v>
      </c>
      <c r="U17" s="21">
        <f t="shared" ca="1" si="15"/>
        <v>0.55133057099999994</v>
      </c>
    </row>
    <row r="18" spans="2:21" x14ac:dyDescent="0.25">
      <c r="B18" s="1">
        <v>15</v>
      </c>
      <c r="C18">
        <f t="shared" ca="1" si="0"/>
        <v>7275.96</v>
      </c>
      <c r="D18">
        <f t="shared" ca="1" si="1"/>
        <v>9.09</v>
      </c>
      <c r="E18" s="5">
        <f t="shared" ca="1" si="2"/>
        <v>0.56489999999999996</v>
      </c>
      <c r="F18">
        <f t="shared" ca="1" si="3"/>
        <v>4.84</v>
      </c>
      <c r="G18">
        <f t="shared" ca="1" si="4"/>
        <v>11.17</v>
      </c>
      <c r="H18" s="6">
        <f t="shared" ca="1" si="5"/>
        <v>0.236860668</v>
      </c>
      <c r="K18">
        <v>15</v>
      </c>
      <c r="L18" s="8">
        <f t="shared" ca="1" si="6"/>
        <v>1034.98</v>
      </c>
      <c r="M18" s="9">
        <f t="shared" ca="1" si="7"/>
        <v>0.21420293400000001</v>
      </c>
      <c r="N18" s="12">
        <f t="shared" ca="1" si="8"/>
        <v>2.95</v>
      </c>
      <c r="O18" s="13">
        <f t="shared" ca="1" si="9"/>
        <v>0.17858986199999999</v>
      </c>
      <c r="P18" s="22">
        <f t="shared" ca="1" si="10"/>
        <v>0.2331</v>
      </c>
      <c r="Q18" s="15">
        <f t="shared" ca="1" si="11"/>
        <v>0.21122468400000002</v>
      </c>
      <c r="R18" s="17">
        <f t="shared" ca="1" si="12"/>
        <v>4.1100000000000003</v>
      </c>
      <c r="S18" s="18">
        <f t="shared" ca="1" si="13"/>
        <v>0.55133057099999994</v>
      </c>
      <c r="T18" s="20">
        <f t="shared" ca="1" si="14"/>
        <v>15.88</v>
      </c>
      <c r="U18" s="21">
        <f t="shared" ca="1" si="15"/>
        <v>0.17858986199999999</v>
      </c>
    </row>
    <row r="19" spans="2:21" x14ac:dyDescent="0.25">
      <c r="B19" s="1">
        <v>16</v>
      </c>
      <c r="C19">
        <f t="shared" ca="1" si="0"/>
        <v>45672.74</v>
      </c>
      <c r="D19">
        <f t="shared" ca="1" si="1"/>
        <v>22.46</v>
      </c>
      <c r="E19" s="5">
        <f t="shared" ca="1" si="2"/>
        <v>0.29509999999999997</v>
      </c>
      <c r="F19">
        <f t="shared" ca="1" si="3"/>
        <v>7.12</v>
      </c>
      <c r="G19">
        <f t="shared" ca="1" si="4"/>
        <v>32.39</v>
      </c>
      <c r="H19" s="6">
        <f t="shared" ca="1" si="5"/>
        <v>0.26952004200000002</v>
      </c>
      <c r="K19">
        <v>16</v>
      </c>
      <c r="L19" s="8">
        <f t="shared" ca="1" si="6"/>
        <v>2159.5100000000002</v>
      </c>
      <c r="M19" s="9">
        <f t="shared" ca="1" si="7"/>
        <v>0.17996388300000005</v>
      </c>
      <c r="N19" s="12">
        <f t="shared" ca="1" si="8"/>
        <v>3.17</v>
      </c>
      <c r="O19" s="13">
        <f t="shared" ca="1" si="9"/>
        <v>6.0662151000000032E-2</v>
      </c>
      <c r="P19" s="22">
        <f t="shared" ca="1" si="10"/>
        <v>0.26200000000000001</v>
      </c>
      <c r="Q19" s="15">
        <f t="shared" ca="1" si="11"/>
        <v>0.21420293400000001</v>
      </c>
      <c r="R19" s="17">
        <f t="shared" ca="1" si="12"/>
        <v>4.3</v>
      </c>
      <c r="S19" s="18">
        <f t="shared" ca="1" si="13"/>
        <v>0.41536925099999999</v>
      </c>
      <c r="T19" s="20">
        <f t="shared" ca="1" si="14"/>
        <v>17.09</v>
      </c>
      <c r="U19" s="21">
        <f t="shared" ca="1" si="15"/>
        <v>0.21420293400000001</v>
      </c>
    </row>
    <row r="20" spans="2:21" x14ac:dyDescent="0.25">
      <c r="B20" s="1">
        <v>17</v>
      </c>
      <c r="C20">
        <f t="shared" ca="1" si="0"/>
        <v>69497.02</v>
      </c>
      <c r="D20">
        <f t="shared" ca="1" si="1"/>
        <v>-8.81</v>
      </c>
      <c r="E20" s="5">
        <f t="shared" ca="1" si="2"/>
        <v>0.76629999999999998</v>
      </c>
      <c r="F20">
        <f t="shared" ca="1" si="3"/>
        <v>2.0099999999999998</v>
      </c>
      <c r="G20">
        <f t="shared" ca="1" si="4"/>
        <v>18.71</v>
      </c>
      <c r="H20" s="6">
        <f t="shared" ca="1" si="5"/>
        <v>0.5589276660000001</v>
      </c>
      <c r="K20">
        <v>17</v>
      </c>
      <c r="L20" s="8">
        <f t="shared" ca="1" si="6"/>
        <v>2256.0700000000002</v>
      </c>
      <c r="M20" s="9">
        <f t="shared" ca="1" si="7"/>
        <v>0.16543253099999999</v>
      </c>
      <c r="N20" s="12">
        <f t="shared" ca="1" si="8"/>
        <v>5.56</v>
      </c>
      <c r="O20" s="13">
        <f t="shared" ca="1" si="9"/>
        <v>4.5156572999999985E-2</v>
      </c>
      <c r="P20" s="22">
        <f t="shared" ca="1" si="10"/>
        <v>0.2777</v>
      </c>
      <c r="Q20" s="15">
        <f t="shared" ca="1" si="11"/>
        <v>0.16194984300000001</v>
      </c>
      <c r="R20" s="17">
        <f t="shared" ca="1" si="12"/>
        <v>4.34</v>
      </c>
      <c r="S20" s="18">
        <f t="shared" ca="1" si="13"/>
        <v>0.260654196</v>
      </c>
      <c r="T20" s="20">
        <f t="shared" ca="1" si="14"/>
        <v>18.71</v>
      </c>
      <c r="U20" s="21">
        <f t="shared" ca="1" si="15"/>
        <v>0.5589276660000001</v>
      </c>
    </row>
    <row r="21" spans="2:21" x14ac:dyDescent="0.25">
      <c r="B21" s="1">
        <v>18</v>
      </c>
      <c r="C21">
        <f t="shared" ca="1" si="0"/>
        <v>1.48</v>
      </c>
      <c r="D21">
        <f t="shared" ca="1" si="1"/>
        <v>8.43</v>
      </c>
      <c r="E21" s="5">
        <f t="shared" ca="1" si="2"/>
        <v>0.75429999999999997</v>
      </c>
      <c r="F21">
        <f t="shared" ca="1" si="3"/>
        <v>4.4800000000000004</v>
      </c>
      <c r="G21">
        <f t="shared" ca="1" si="4"/>
        <v>26.76</v>
      </c>
      <c r="H21" s="6">
        <f t="shared" ca="1" si="5"/>
        <v>0.227704884</v>
      </c>
      <c r="K21">
        <v>18</v>
      </c>
      <c r="L21" s="8">
        <f t="shared" ca="1" si="6"/>
        <v>2769.72</v>
      </c>
      <c r="M21" s="9">
        <f t="shared" ca="1" si="7"/>
        <v>0.29046507600000004</v>
      </c>
      <c r="N21" s="12">
        <f t="shared" ca="1" si="8"/>
        <v>5.61</v>
      </c>
      <c r="O21" s="13">
        <f t="shared" ca="1" si="9"/>
        <v>0.55867416000000003</v>
      </c>
      <c r="P21" s="22">
        <f t="shared" ca="1" si="10"/>
        <v>0.2928</v>
      </c>
      <c r="Q21" s="15">
        <f t="shared" ca="1" si="11"/>
        <v>0.16543253099999999</v>
      </c>
      <c r="R21" s="17">
        <f t="shared" ca="1" si="12"/>
        <v>4.3899999999999997</v>
      </c>
      <c r="S21" s="18">
        <f t="shared" ca="1" si="13"/>
        <v>0.24761160600000001</v>
      </c>
      <c r="T21" s="20">
        <f t="shared" ca="1" si="14"/>
        <v>19.12</v>
      </c>
      <c r="U21" s="21">
        <f t="shared" ca="1" si="15"/>
        <v>0.24761160600000001</v>
      </c>
    </row>
    <row r="22" spans="2:21" x14ac:dyDescent="0.25">
      <c r="B22" s="1">
        <v>19</v>
      </c>
      <c r="C22">
        <f t="shared" ca="1" si="0"/>
        <v>62573.53</v>
      </c>
      <c r="D22">
        <f t="shared" ca="1" si="1"/>
        <v>-6.75</v>
      </c>
      <c r="E22" s="5">
        <f t="shared" ca="1" si="2"/>
        <v>0.77149999999999996</v>
      </c>
      <c r="F22">
        <f t="shared" ca="1" si="3"/>
        <v>6.28</v>
      </c>
      <c r="G22">
        <f t="shared" ca="1" si="4"/>
        <v>11.51</v>
      </c>
      <c r="H22" s="6">
        <f t="shared" ca="1" si="5"/>
        <v>0.35994264900000006</v>
      </c>
      <c r="K22">
        <v>19</v>
      </c>
      <c r="L22" s="8">
        <f t="shared" ca="1" si="6"/>
        <v>2930.14</v>
      </c>
      <c r="M22" s="9">
        <f t="shared" ca="1" si="7"/>
        <v>6.2881961999999972E-2</v>
      </c>
      <c r="N22" s="12">
        <f t="shared" ca="1" si="8"/>
        <v>6.28</v>
      </c>
      <c r="O22" s="13">
        <f t="shared" ca="1" si="9"/>
        <v>0.171613134</v>
      </c>
      <c r="P22" s="22">
        <f t="shared" ca="1" si="10"/>
        <v>0.29509999999999997</v>
      </c>
      <c r="Q22" s="15">
        <f t="shared" ca="1" si="11"/>
        <v>0.26952004200000002</v>
      </c>
      <c r="R22" s="17">
        <f t="shared" ca="1" si="12"/>
        <v>4.43</v>
      </c>
      <c r="S22" s="18">
        <f t="shared" ca="1" si="13"/>
        <v>0.22978101300000003</v>
      </c>
      <c r="T22" s="20">
        <f t="shared" ca="1" si="14"/>
        <v>20.09</v>
      </c>
      <c r="U22" s="21">
        <f t="shared" ca="1" si="15"/>
        <v>0.28124556900000008</v>
      </c>
    </row>
    <row r="23" spans="2:21" x14ac:dyDescent="0.25">
      <c r="B23" s="1">
        <v>20</v>
      </c>
      <c r="C23">
        <f t="shared" ca="1" si="0"/>
        <v>37994.33</v>
      </c>
      <c r="D23">
        <f t="shared" ca="1" si="1"/>
        <v>-9.52</v>
      </c>
      <c r="E23" s="5">
        <f t="shared" ca="1" si="2"/>
        <v>0.4027</v>
      </c>
      <c r="F23">
        <f t="shared" ca="1" si="3"/>
        <v>8.08</v>
      </c>
      <c r="G23">
        <f t="shared" ca="1" si="4"/>
        <v>27.01</v>
      </c>
      <c r="H23" s="6">
        <f t="shared" ca="1" si="5"/>
        <v>0.204581289</v>
      </c>
      <c r="K23">
        <v>20</v>
      </c>
      <c r="L23" s="8">
        <f t="shared" ca="1" si="6"/>
        <v>3719.09</v>
      </c>
      <c r="M23" s="9">
        <f t="shared" ca="1" si="7"/>
        <v>0.32453549700000006</v>
      </c>
      <c r="N23" s="12">
        <f t="shared" ca="1" si="8"/>
        <v>8.43</v>
      </c>
      <c r="O23" s="13">
        <f t="shared" ca="1" si="9"/>
        <v>0.227704884</v>
      </c>
      <c r="P23" s="22">
        <f t="shared" ca="1" si="10"/>
        <v>0.29770000000000002</v>
      </c>
      <c r="Q23" s="15">
        <f t="shared" ca="1" si="11"/>
        <v>0.13489657499999999</v>
      </c>
      <c r="R23" s="17">
        <f t="shared" ca="1" si="12"/>
        <v>4.4800000000000004</v>
      </c>
      <c r="S23" s="18">
        <f t="shared" ca="1" si="13"/>
        <v>0.227704884</v>
      </c>
      <c r="T23" s="20">
        <f t="shared" ca="1" si="14"/>
        <v>20.18</v>
      </c>
      <c r="U23" s="21">
        <f t="shared" ca="1" si="15"/>
        <v>8.2945070999999995E-2</v>
      </c>
    </row>
    <row r="24" spans="2:21" x14ac:dyDescent="0.25">
      <c r="B24" s="1">
        <v>21</v>
      </c>
      <c r="C24">
        <f t="shared" ca="1" si="0"/>
        <v>425.73</v>
      </c>
      <c r="D24">
        <f t="shared" ca="1" si="1"/>
        <v>38.53</v>
      </c>
      <c r="E24" s="5">
        <f t="shared" ca="1" si="2"/>
        <v>0.88890000000000002</v>
      </c>
      <c r="F24">
        <f t="shared" ca="1" si="3"/>
        <v>4.79</v>
      </c>
      <c r="G24">
        <f t="shared" ca="1" si="4"/>
        <v>21.4</v>
      </c>
      <c r="H24" s="6">
        <f t="shared" ca="1" si="5"/>
        <v>0.21631740900000002</v>
      </c>
      <c r="K24">
        <v>21</v>
      </c>
      <c r="L24" s="8">
        <f t="shared" ca="1" si="6"/>
        <v>4908.82</v>
      </c>
      <c r="M24" s="9">
        <f t="shared" ca="1" si="7"/>
        <v>0.24761160600000001</v>
      </c>
      <c r="N24" s="12">
        <f t="shared" ca="1" si="8"/>
        <v>8.4700000000000006</v>
      </c>
      <c r="O24" s="13">
        <f t="shared" ca="1" si="9"/>
        <v>9.6196716000000043E-2</v>
      </c>
      <c r="P24" s="22">
        <f t="shared" ca="1" si="10"/>
        <v>0.32469999999999999</v>
      </c>
      <c r="Q24" s="15">
        <f t="shared" ca="1" si="11"/>
        <v>0.570855153</v>
      </c>
      <c r="R24" s="17">
        <f t="shared" ca="1" si="12"/>
        <v>4.79</v>
      </c>
      <c r="S24" s="18">
        <f t="shared" ca="1" si="13"/>
        <v>0.21631740900000002</v>
      </c>
      <c r="T24" s="20">
        <f t="shared" ca="1" si="14"/>
        <v>21.11</v>
      </c>
      <c r="U24" s="21">
        <f t="shared" ca="1" si="15"/>
        <v>0.16543253099999999</v>
      </c>
    </row>
    <row r="25" spans="2:21" x14ac:dyDescent="0.25">
      <c r="B25" s="1">
        <v>22</v>
      </c>
      <c r="C25">
        <f t="shared" ca="1" si="0"/>
        <v>60700.63</v>
      </c>
      <c r="D25">
        <f t="shared" ca="1" si="1"/>
        <v>12.45</v>
      </c>
      <c r="E25" s="5">
        <f t="shared" ca="1" si="2"/>
        <v>0.3906</v>
      </c>
      <c r="F25">
        <f t="shared" ca="1" si="3"/>
        <v>2.5499999999999998</v>
      </c>
      <c r="G25">
        <f t="shared" ca="1" si="4"/>
        <v>8.25</v>
      </c>
      <c r="H25" s="6">
        <f t="shared" ca="1" si="5"/>
        <v>0.50762457900000002</v>
      </c>
      <c r="K25">
        <v>22</v>
      </c>
      <c r="L25" s="8">
        <f t="shared" ca="1" si="6"/>
        <v>5200.6400000000003</v>
      </c>
      <c r="M25" s="9">
        <f t="shared" ca="1" si="7"/>
        <v>0.21516211200000002</v>
      </c>
      <c r="N25" s="12">
        <f t="shared" ca="1" si="8"/>
        <v>9</v>
      </c>
      <c r="O25" s="13">
        <f t="shared" ca="1" si="9"/>
        <v>0.55133057099999994</v>
      </c>
      <c r="P25" s="22">
        <f t="shared" ca="1" si="10"/>
        <v>0.34899999999999998</v>
      </c>
      <c r="Q25" s="15">
        <f t="shared" ca="1" si="11"/>
        <v>0.13737329100000001</v>
      </c>
      <c r="R25" s="17">
        <f t="shared" ca="1" si="12"/>
        <v>4.84</v>
      </c>
      <c r="S25" s="18">
        <f t="shared" ca="1" si="13"/>
        <v>0.236860668</v>
      </c>
      <c r="T25" s="20">
        <f t="shared" ca="1" si="14"/>
        <v>21.4</v>
      </c>
      <c r="U25" s="21">
        <f t="shared" ca="1" si="15"/>
        <v>0.21631740900000002</v>
      </c>
    </row>
    <row r="26" spans="2:21" x14ac:dyDescent="0.25">
      <c r="B26" s="1">
        <v>23</v>
      </c>
      <c r="C26">
        <f t="shared" ca="1" si="0"/>
        <v>5.45</v>
      </c>
      <c r="D26">
        <f t="shared" ca="1" si="1"/>
        <v>9.18</v>
      </c>
      <c r="E26" s="5">
        <f t="shared" ca="1" si="2"/>
        <v>0.44940000000000002</v>
      </c>
      <c r="F26">
        <f t="shared" ca="1" si="3"/>
        <v>9.91</v>
      </c>
      <c r="G26">
        <f t="shared" ca="1" si="4"/>
        <v>11.97</v>
      </c>
      <c r="H26" s="6">
        <f t="shared" ca="1" si="5"/>
        <v>3.7304849999999943E-3</v>
      </c>
      <c r="K26">
        <v>23</v>
      </c>
      <c r="L26" s="8">
        <f t="shared" ca="1" si="6"/>
        <v>5442.85</v>
      </c>
      <c r="M26" s="9">
        <f t="shared" ca="1" si="7"/>
        <v>0.26339890500000002</v>
      </c>
      <c r="N26" s="12">
        <f t="shared" ca="1" si="8"/>
        <v>9.09</v>
      </c>
      <c r="O26" s="13">
        <f t="shared" ca="1" si="9"/>
        <v>0.236860668</v>
      </c>
      <c r="P26" s="22">
        <f t="shared" ca="1" si="10"/>
        <v>0.3906</v>
      </c>
      <c r="Q26" s="15">
        <f t="shared" ca="1" si="11"/>
        <v>0.50762457900000002</v>
      </c>
      <c r="R26" s="17">
        <f t="shared" ca="1" si="12"/>
        <v>4.88</v>
      </c>
      <c r="S26" s="18">
        <f t="shared" ca="1" si="13"/>
        <v>0.21122468400000002</v>
      </c>
      <c r="T26" s="20">
        <f t="shared" ca="1" si="14"/>
        <v>21.85</v>
      </c>
      <c r="U26" s="21">
        <f t="shared" ca="1" si="15"/>
        <v>0.41363622299999997</v>
      </c>
    </row>
    <row r="27" spans="2:21" x14ac:dyDescent="0.25">
      <c r="B27" s="1">
        <v>24</v>
      </c>
      <c r="C27">
        <f t="shared" ca="1" si="0"/>
        <v>43926.26</v>
      </c>
      <c r="D27">
        <f t="shared" ca="1" si="1"/>
        <v>32.840000000000003</v>
      </c>
      <c r="E27" s="5">
        <f t="shared" ca="1" si="2"/>
        <v>6.0999999999999999E-2</v>
      </c>
      <c r="F27">
        <f t="shared" ca="1" si="3"/>
        <v>8.26</v>
      </c>
      <c r="G27">
        <f t="shared" ca="1" si="4"/>
        <v>25.6</v>
      </c>
      <c r="H27" s="6">
        <f t="shared" ca="1" si="5"/>
        <v>0.21673165800000002</v>
      </c>
      <c r="K27">
        <v>24</v>
      </c>
      <c r="L27" s="8">
        <f t="shared" ca="1" si="6"/>
        <v>5950.71</v>
      </c>
      <c r="M27" s="9">
        <f t="shared" ca="1" si="7"/>
        <v>0.16194984300000001</v>
      </c>
      <c r="N27" s="12">
        <f t="shared" ca="1" si="8"/>
        <v>9.18</v>
      </c>
      <c r="O27" s="13">
        <f t="shared" ca="1" si="9"/>
        <v>3.7304849999999943E-3</v>
      </c>
      <c r="P27" s="22">
        <f t="shared" ca="1" si="10"/>
        <v>0.4027</v>
      </c>
      <c r="Q27" s="15">
        <f t="shared" ca="1" si="11"/>
        <v>0.204581289</v>
      </c>
      <c r="R27" s="17">
        <f t="shared" ca="1" si="12"/>
        <v>4.8899999999999997</v>
      </c>
      <c r="S27" s="18">
        <f t="shared" ca="1" si="13"/>
        <v>0.21420293400000001</v>
      </c>
      <c r="T27" s="20">
        <f t="shared" ca="1" si="14"/>
        <v>23.13</v>
      </c>
      <c r="U27" s="21">
        <f t="shared" ca="1" si="15"/>
        <v>0.23577212999999997</v>
      </c>
    </row>
    <row r="28" spans="2:21" x14ac:dyDescent="0.25">
      <c r="B28" s="1">
        <v>25</v>
      </c>
      <c r="C28">
        <f t="shared" ca="1" si="0"/>
        <v>5442.85</v>
      </c>
      <c r="D28">
        <f t="shared" ca="1" si="1"/>
        <v>-9.6</v>
      </c>
      <c r="E28" s="5">
        <f t="shared" ca="1" si="2"/>
        <v>7.7399999999999997E-2</v>
      </c>
      <c r="F28">
        <f t="shared" ca="1" si="3"/>
        <v>4.05</v>
      </c>
      <c r="G28">
        <f t="shared" ca="1" si="4"/>
        <v>38.83</v>
      </c>
      <c r="H28" s="6">
        <f t="shared" ca="1" si="5"/>
        <v>0.26339890500000002</v>
      </c>
      <c r="K28">
        <v>25</v>
      </c>
      <c r="L28" s="8">
        <f t="shared" ca="1" si="6"/>
        <v>7275.96</v>
      </c>
      <c r="M28" s="9">
        <f t="shared" ca="1" si="7"/>
        <v>0.236860668</v>
      </c>
      <c r="N28" s="12">
        <f t="shared" ca="1" si="8"/>
        <v>10.34</v>
      </c>
      <c r="O28" s="13">
        <f t="shared" ca="1" si="9"/>
        <v>0.32453549700000006</v>
      </c>
      <c r="P28" s="22">
        <f t="shared" ca="1" si="10"/>
        <v>0.42630000000000001</v>
      </c>
      <c r="Q28" s="15">
        <f t="shared" ca="1" si="11"/>
        <v>0.171613134</v>
      </c>
      <c r="R28" s="17">
        <f t="shared" ca="1" si="12"/>
        <v>5.2</v>
      </c>
      <c r="S28" s="18">
        <f t="shared" ca="1" si="13"/>
        <v>0.21516211200000002</v>
      </c>
      <c r="T28" s="20">
        <f t="shared" ca="1" si="14"/>
        <v>23.48</v>
      </c>
      <c r="U28" s="21">
        <f t="shared" ca="1" si="15"/>
        <v>0.55867416000000003</v>
      </c>
    </row>
    <row r="29" spans="2:21" x14ac:dyDescent="0.25">
      <c r="B29" s="1">
        <v>26</v>
      </c>
      <c r="C29">
        <f t="shared" ca="1" si="0"/>
        <v>9777.02</v>
      </c>
      <c r="D29">
        <f t="shared" ca="1" si="1"/>
        <v>1.88</v>
      </c>
      <c r="E29" s="5">
        <f t="shared" ca="1" si="2"/>
        <v>0.63170000000000004</v>
      </c>
      <c r="F29">
        <f t="shared" ca="1" si="3"/>
        <v>2.38</v>
      </c>
      <c r="G29">
        <f t="shared" ca="1" si="4"/>
        <v>12.83</v>
      </c>
      <c r="H29" s="6">
        <f t="shared" ca="1" si="5"/>
        <v>0.346589166</v>
      </c>
      <c r="K29">
        <v>26</v>
      </c>
      <c r="L29" s="8">
        <f t="shared" ca="1" si="6"/>
        <v>8236.1200000000008</v>
      </c>
      <c r="M29" s="9">
        <f t="shared" ca="1" si="7"/>
        <v>0.260654196</v>
      </c>
      <c r="N29" s="12">
        <f t="shared" ca="1" si="8"/>
        <v>10.65</v>
      </c>
      <c r="O29" s="13">
        <f t="shared" ca="1" si="9"/>
        <v>6.2881961999999972E-2</v>
      </c>
      <c r="P29" s="22">
        <f t="shared" ca="1" si="10"/>
        <v>0.44940000000000002</v>
      </c>
      <c r="Q29" s="15">
        <f t="shared" ca="1" si="11"/>
        <v>3.7304849999999943E-3</v>
      </c>
      <c r="R29" s="17">
        <f t="shared" ca="1" si="12"/>
        <v>5.7580000000000018</v>
      </c>
      <c r="S29" s="18">
        <f t="shared" ca="1" si="13"/>
        <v>0.26194338059999994</v>
      </c>
      <c r="T29" s="20">
        <f t="shared" ca="1" si="14"/>
        <v>25.53</v>
      </c>
      <c r="U29" s="21">
        <f t="shared" ca="1" si="15"/>
        <v>0.171613134</v>
      </c>
    </row>
    <row r="30" spans="2:21" x14ac:dyDescent="0.25">
      <c r="B30" s="1">
        <v>27</v>
      </c>
      <c r="C30">
        <f t="shared" ca="1" si="0"/>
        <v>3.27</v>
      </c>
      <c r="D30">
        <f t="shared" ca="1" si="1"/>
        <v>21.65</v>
      </c>
      <c r="E30" s="5">
        <f t="shared" ca="1" si="2"/>
        <v>0.34899999999999998</v>
      </c>
      <c r="F30">
        <f t="shared" ca="1" si="3"/>
        <v>6.67</v>
      </c>
      <c r="G30">
        <f t="shared" ca="1" si="4"/>
        <v>31.5</v>
      </c>
      <c r="H30" s="6">
        <f t="shared" ca="1" si="5"/>
        <v>0.13737329100000001</v>
      </c>
      <c r="K30">
        <v>27</v>
      </c>
      <c r="L30" s="8">
        <f t="shared" ca="1" si="6"/>
        <v>8703.93</v>
      </c>
      <c r="M30" s="9">
        <f t="shared" ca="1" si="7"/>
        <v>0.29107296899999996</v>
      </c>
      <c r="N30" s="12">
        <f t="shared" ca="1" si="8"/>
        <v>11.03</v>
      </c>
      <c r="O30" s="13">
        <f t="shared" ca="1" si="9"/>
        <v>0.21420293400000001</v>
      </c>
      <c r="P30" s="22">
        <f t="shared" ca="1" si="10"/>
        <v>0.45450000000000002</v>
      </c>
      <c r="Q30" s="15">
        <f t="shared" ca="1" si="11"/>
        <v>0.118807656</v>
      </c>
      <c r="R30" s="17">
        <f t="shared" ca="1" si="12"/>
        <v>5.81</v>
      </c>
      <c r="S30" s="18">
        <f t="shared" ca="1" si="13"/>
        <v>0.17996388300000005</v>
      </c>
      <c r="T30" s="20">
        <f t="shared" ca="1" si="14"/>
        <v>25.6</v>
      </c>
      <c r="U30" s="21">
        <f t="shared" ca="1" si="15"/>
        <v>0.21673165800000002</v>
      </c>
    </row>
    <row r="31" spans="2:21" x14ac:dyDescent="0.25">
      <c r="B31" s="1">
        <v>28</v>
      </c>
      <c r="C31">
        <f t="shared" ca="1" si="0"/>
        <v>8703.93</v>
      </c>
      <c r="D31">
        <f t="shared" ca="1" si="1"/>
        <v>27.46</v>
      </c>
      <c r="E31" s="5">
        <f t="shared" ca="1" si="2"/>
        <v>0.1295</v>
      </c>
      <c r="F31">
        <f t="shared" ca="1" si="3"/>
        <v>3.64</v>
      </c>
      <c r="G31">
        <f t="shared" ca="1" si="4"/>
        <v>46.27</v>
      </c>
      <c r="H31" s="6">
        <f t="shared" ca="1" si="5"/>
        <v>0.29107296899999996</v>
      </c>
      <c r="K31">
        <v>28</v>
      </c>
      <c r="L31" s="8">
        <f t="shared" ca="1" si="6"/>
        <v>8775.52</v>
      </c>
      <c r="M31" s="9">
        <f t="shared" ca="1" si="7"/>
        <v>9.6196716000000043E-2</v>
      </c>
      <c r="N31" s="12">
        <f t="shared" ca="1" si="8"/>
        <v>12.03</v>
      </c>
      <c r="O31" s="13">
        <f t="shared" ca="1" si="9"/>
        <v>0.260654196</v>
      </c>
      <c r="P31" s="22">
        <f t="shared" ca="1" si="10"/>
        <v>0.45619999999999999</v>
      </c>
      <c r="Q31" s="15">
        <f t="shared" ca="1" si="11"/>
        <v>0.35611488000000002</v>
      </c>
      <c r="R31" s="17">
        <f t="shared" ca="1" si="12"/>
        <v>5.84</v>
      </c>
      <c r="S31" s="18">
        <f t="shared" ca="1" si="13"/>
        <v>0.171613134</v>
      </c>
      <c r="T31" s="20">
        <f t="shared" ca="1" si="14"/>
        <v>25.923999999999999</v>
      </c>
      <c r="U31" s="21">
        <f t="shared" ca="1" si="15"/>
        <v>0.26194338059999994</v>
      </c>
    </row>
    <row r="32" spans="2:21" x14ac:dyDescent="0.25">
      <c r="B32" s="1">
        <v>29</v>
      </c>
      <c r="C32">
        <f t="shared" ca="1" si="0"/>
        <v>8236.1200000000008</v>
      </c>
      <c r="D32">
        <f t="shared" ca="1" si="1"/>
        <v>12.03</v>
      </c>
      <c r="E32" s="5">
        <f t="shared" ca="1" si="2"/>
        <v>0.69410000000000005</v>
      </c>
      <c r="F32">
        <f t="shared" ca="1" si="3"/>
        <v>4.34</v>
      </c>
      <c r="G32">
        <f t="shared" ca="1" si="4"/>
        <v>29.05</v>
      </c>
      <c r="H32" s="6">
        <f t="shared" ca="1" si="5"/>
        <v>0.260654196</v>
      </c>
      <c r="K32">
        <v>29</v>
      </c>
      <c r="L32" s="8">
        <f t="shared" ca="1" si="6"/>
        <v>9171.91</v>
      </c>
      <c r="M32" s="9">
        <f t="shared" ca="1" si="7"/>
        <v>0.11070480299999999</v>
      </c>
      <c r="N32" s="12">
        <f t="shared" ca="1" si="8"/>
        <v>12.45</v>
      </c>
      <c r="O32" s="13">
        <f t="shared" ca="1" si="9"/>
        <v>0.50762457900000002</v>
      </c>
      <c r="P32" s="22">
        <f t="shared" ca="1" si="10"/>
        <v>0.46605399999999997</v>
      </c>
      <c r="Q32" s="15">
        <f t="shared" ca="1" si="11"/>
        <v>0.26194338059999994</v>
      </c>
      <c r="R32" s="17">
        <f t="shared" ca="1" si="12"/>
        <v>6.17</v>
      </c>
      <c r="S32" s="18">
        <f t="shared" ca="1" si="13"/>
        <v>0.16543253099999999</v>
      </c>
      <c r="T32" s="20">
        <f t="shared" ca="1" si="14"/>
        <v>26.76</v>
      </c>
      <c r="U32" s="21">
        <f t="shared" ca="1" si="15"/>
        <v>0.227704884</v>
      </c>
    </row>
    <row r="33" spans="2:21" x14ac:dyDescent="0.25">
      <c r="B33" s="1">
        <v>30</v>
      </c>
      <c r="C33">
        <f t="shared" ca="1" si="0"/>
        <v>2.3199999999999998</v>
      </c>
      <c r="D33">
        <f t="shared" ca="1" si="1"/>
        <v>21.14</v>
      </c>
      <c r="E33" s="5">
        <f t="shared" ca="1" si="2"/>
        <v>0.45450000000000002</v>
      </c>
      <c r="F33">
        <f t="shared" ca="1" si="3"/>
        <v>7.12</v>
      </c>
      <c r="G33">
        <f t="shared" ca="1" si="4"/>
        <v>7.5</v>
      </c>
      <c r="H33" s="6">
        <f t="shared" ca="1" si="5"/>
        <v>0.118807656</v>
      </c>
      <c r="K33">
        <v>30</v>
      </c>
      <c r="L33" s="8">
        <f t="shared" ca="1" si="6"/>
        <v>9308.81</v>
      </c>
      <c r="M33" s="9">
        <f t="shared" ca="1" si="7"/>
        <v>4.5156572999999985E-2</v>
      </c>
      <c r="N33" s="12">
        <f t="shared" ca="1" si="8"/>
        <v>12.626799999999994</v>
      </c>
      <c r="O33" s="13">
        <f t="shared" ca="1" si="9"/>
        <v>0.26194338059999994</v>
      </c>
      <c r="P33" s="22">
        <f t="shared" ca="1" si="10"/>
        <v>0.52890000000000004</v>
      </c>
      <c r="Q33" s="15">
        <f t="shared" ca="1" si="11"/>
        <v>6.2881961999999972E-2</v>
      </c>
      <c r="R33" s="17">
        <f t="shared" ca="1" si="12"/>
        <v>6.28</v>
      </c>
      <c r="S33" s="18">
        <f t="shared" ca="1" si="13"/>
        <v>0.35994264900000006</v>
      </c>
      <c r="T33" s="20">
        <f t="shared" ca="1" si="14"/>
        <v>27.01</v>
      </c>
      <c r="U33" s="21">
        <f t="shared" ca="1" si="15"/>
        <v>0.204581289</v>
      </c>
    </row>
    <row r="34" spans="2:21" x14ac:dyDescent="0.25">
      <c r="B34" s="1">
        <v>31</v>
      </c>
      <c r="C34">
        <f t="shared" ca="1" si="0"/>
        <v>46493.14</v>
      </c>
      <c r="D34">
        <f t="shared" ca="1" si="1"/>
        <v>2.95</v>
      </c>
      <c r="E34" s="5">
        <f t="shared" ca="1" si="2"/>
        <v>0.77270000000000005</v>
      </c>
      <c r="F34">
        <f t="shared" ca="1" si="3"/>
        <v>9.39</v>
      </c>
      <c r="G34">
        <f t="shared" ca="1" si="4"/>
        <v>15.88</v>
      </c>
      <c r="H34" s="6">
        <f t="shared" ca="1" si="5"/>
        <v>0.17858986199999999</v>
      </c>
      <c r="K34">
        <v>31</v>
      </c>
      <c r="L34" s="8">
        <f t="shared" ca="1" si="6"/>
        <v>9777.02</v>
      </c>
      <c r="M34" s="9">
        <f t="shared" ca="1" si="7"/>
        <v>0.346589166</v>
      </c>
      <c r="N34" s="12">
        <f t="shared" ca="1" si="8"/>
        <v>13.21</v>
      </c>
      <c r="O34" s="13">
        <f t="shared" ca="1" si="9"/>
        <v>0.16543253099999999</v>
      </c>
      <c r="P34" s="22">
        <f t="shared" ca="1" si="10"/>
        <v>0.54590000000000005</v>
      </c>
      <c r="Q34" s="15">
        <f t="shared" ca="1" si="11"/>
        <v>0.46924353299999999</v>
      </c>
      <c r="R34" s="17">
        <f t="shared" ca="1" si="12"/>
        <v>6.39</v>
      </c>
      <c r="S34" s="18">
        <f t="shared" ca="1" si="13"/>
        <v>0.28124556900000008</v>
      </c>
      <c r="T34" s="20">
        <f t="shared" ca="1" si="14"/>
        <v>29.05</v>
      </c>
      <c r="U34" s="21">
        <f t="shared" ca="1" si="15"/>
        <v>0.260654196</v>
      </c>
    </row>
    <row r="35" spans="2:21" x14ac:dyDescent="0.25">
      <c r="B35" s="1">
        <v>32</v>
      </c>
      <c r="C35">
        <f t="shared" ca="1" si="0"/>
        <v>86094.31</v>
      </c>
      <c r="D35">
        <f t="shared" ca="1" si="1"/>
        <v>20.76</v>
      </c>
      <c r="E35" s="5">
        <f t="shared" ca="1" si="2"/>
        <v>0.80610000000000004</v>
      </c>
      <c r="F35">
        <f t="shared" ca="1" si="3"/>
        <v>6.86</v>
      </c>
      <c r="G35">
        <f t="shared" ca="1" si="4"/>
        <v>21.85</v>
      </c>
      <c r="H35" s="6">
        <f t="shared" ca="1" si="5"/>
        <v>0.41363622299999997</v>
      </c>
      <c r="K35">
        <v>32</v>
      </c>
      <c r="L35" s="8">
        <f t="shared" ca="1" si="6"/>
        <v>37994.33</v>
      </c>
      <c r="M35" s="9">
        <f t="shared" ca="1" si="7"/>
        <v>0.204581289</v>
      </c>
      <c r="N35" s="12">
        <f t="shared" ca="1" si="8"/>
        <v>13.25</v>
      </c>
      <c r="O35" s="13">
        <f t="shared" ca="1" si="9"/>
        <v>0.570855153</v>
      </c>
      <c r="P35" s="22">
        <f t="shared" ca="1" si="10"/>
        <v>0.56489999999999996</v>
      </c>
      <c r="Q35" s="15">
        <f t="shared" ca="1" si="11"/>
        <v>0.236860668</v>
      </c>
      <c r="R35" s="17">
        <f t="shared" ca="1" si="12"/>
        <v>6.55</v>
      </c>
      <c r="S35" s="18">
        <f t="shared" ca="1" si="13"/>
        <v>0.16194984300000001</v>
      </c>
      <c r="T35" s="20">
        <f t="shared" ca="1" si="14"/>
        <v>30.63</v>
      </c>
      <c r="U35" s="21">
        <f t="shared" ca="1" si="15"/>
        <v>4.5156572999999985E-2</v>
      </c>
    </row>
    <row r="36" spans="2:21" x14ac:dyDescent="0.25">
      <c r="B36" s="1">
        <v>33</v>
      </c>
      <c r="C36">
        <f t="shared" ref="C36:C53" ca="1" si="16">IF(RANDBETWEEN(1,3)=1,RANDBETWEEN(1000000,10000000)/100,IF(RANDBETWEEN(1,2)=1,RANDBETWEEN(1000,1000000)/100,RANDBETWEEN(0,1000)/100))</f>
        <v>9308.81</v>
      </c>
      <c r="D36">
        <f t="shared" ref="D36:D53" ca="1" si="17">RANDBETWEEN(-1000,4000)/100</f>
        <v>5.56</v>
      </c>
      <c r="E36" s="5">
        <f t="shared" ref="E36:E53" ca="1" si="18">RANDBETWEEN(0,9000)/10000</f>
        <v>0.77510000000000001</v>
      </c>
      <c r="F36">
        <f t="shared" ref="F36:F53" ca="1" si="19">RANDBETWEEN(200,1000)/100</f>
        <v>9.65</v>
      </c>
      <c r="G36">
        <f t="shared" ref="G36:G53" ca="1" si="20">RANDBETWEEN(500,5000)/100</f>
        <v>30.63</v>
      </c>
      <c r="H36" s="6">
        <f t="shared" ref="H36:H53" ca="1" si="21">(0.33*C36/100000)+(10-F36)/8*0.33</f>
        <v>4.5156572999999985E-2</v>
      </c>
      <c r="K36">
        <v>33</v>
      </c>
      <c r="L36" s="8">
        <f t="shared" ref="L36:L53" ca="1" si="22">SMALL($C$4:$C$53,K36)</f>
        <v>40100.93</v>
      </c>
      <c r="M36" s="9">
        <f t="shared" ref="M36:M53" ca="1" si="23">VLOOKUP(L36,$C$4:$H$103,6,FALSE)</f>
        <v>0.28124556900000008</v>
      </c>
      <c r="N36" s="12">
        <f t="shared" ref="N36:N53" ca="1" si="24">SMALL($D$4:$D$103,K36)</f>
        <v>16.18</v>
      </c>
      <c r="O36" s="13">
        <f t="shared" ref="O36:O53" ca="1" si="25">VLOOKUP(N36,$D$4:$H$103,5,FALSE)</f>
        <v>0.22978101300000003</v>
      </c>
      <c r="P36" s="22">
        <f t="shared" ref="P36:P53" ca="1" si="26">SMALL($E$4:$E$103,K36)</f>
        <v>0.57089999999999996</v>
      </c>
      <c r="Q36" s="15">
        <f t="shared" ref="Q36:Q53" ca="1" si="27">VLOOKUP(P36,$E$4:$H$103,4,FALSE)</f>
        <v>0.28124556900000008</v>
      </c>
      <c r="R36" s="17">
        <f t="shared" ref="R36:R53" ca="1" si="28">SMALL($F$4:$F$103,K36)</f>
        <v>6.67</v>
      </c>
      <c r="S36" s="18">
        <f t="shared" ref="S36:S53" ca="1" si="29">VLOOKUP(R36,$F$4:$H$103,3,FALSE)</f>
        <v>0.13737329100000001</v>
      </c>
      <c r="T36" s="20">
        <f t="shared" ref="T36:T53" ca="1" si="30">SMALL($G$4:$G$103,K36)</f>
        <v>31.5</v>
      </c>
      <c r="U36" s="21">
        <f t="shared" ref="U36:U53" ca="1" si="31">VLOOKUP(T36,$G$4:$H$103,2,FALSE)</f>
        <v>0.13737329100000001</v>
      </c>
    </row>
    <row r="37" spans="2:21" x14ac:dyDescent="0.25">
      <c r="B37" s="1">
        <v>34</v>
      </c>
      <c r="C37">
        <f t="shared" ca="1" si="16"/>
        <v>2930.14</v>
      </c>
      <c r="D37">
        <f t="shared" ca="1" si="17"/>
        <v>10.65</v>
      </c>
      <c r="E37" s="5">
        <f t="shared" ca="1" si="18"/>
        <v>0.52890000000000004</v>
      </c>
      <c r="F37">
        <f t="shared" ca="1" si="19"/>
        <v>8.7100000000000009</v>
      </c>
      <c r="G37">
        <f t="shared" ca="1" si="20"/>
        <v>13.46</v>
      </c>
      <c r="H37" s="6">
        <f t="shared" ca="1" si="21"/>
        <v>6.2881961999999972E-2</v>
      </c>
      <c r="K37">
        <v>34</v>
      </c>
      <c r="L37" s="8">
        <f t="shared" ca="1" si="22"/>
        <v>43926.26</v>
      </c>
      <c r="M37" s="9">
        <f t="shared" ca="1" si="23"/>
        <v>0.21673165800000002</v>
      </c>
      <c r="N37" s="12">
        <f t="shared" ca="1" si="24"/>
        <v>17.16</v>
      </c>
      <c r="O37" s="13">
        <f t="shared" ca="1" si="25"/>
        <v>0.35611488000000002</v>
      </c>
      <c r="P37" s="22">
        <f t="shared" ca="1" si="26"/>
        <v>0.63170000000000004</v>
      </c>
      <c r="Q37" s="15">
        <f t="shared" ca="1" si="27"/>
        <v>0.346589166</v>
      </c>
      <c r="R37" s="17">
        <f t="shared" ca="1" si="28"/>
        <v>6.73</v>
      </c>
      <c r="S37" s="18">
        <f t="shared" ca="1" si="29"/>
        <v>0.13489657499999999</v>
      </c>
      <c r="T37" s="20">
        <f t="shared" ca="1" si="30"/>
        <v>32.020000000000003</v>
      </c>
      <c r="U37" s="21">
        <f t="shared" ca="1" si="31"/>
        <v>0.13489657499999999</v>
      </c>
    </row>
    <row r="38" spans="2:21" x14ac:dyDescent="0.25">
      <c r="B38" s="1">
        <v>35</v>
      </c>
      <c r="C38">
        <f t="shared" ca="1" si="16"/>
        <v>7.48</v>
      </c>
      <c r="D38">
        <f t="shared" ca="1" si="17"/>
        <v>2.48</v>
      </c>
      <c r="E38" s="5">
        <f t="shared" ca="1" si="18"/>
        <v>0.2331</v>
      </c>
      <c r="F38">
        <f t="shared" ca="1" si="19"/>
        <v>4.88</v>
      </c>
      <c r="G38">
        <f t="shared" ca="1" si="20"/>
        <v>33.44</v>
      </c>
      <c r="H38" s="6">
        <f t="shared" ca="1" si="21"/>
        <v>0.21122468400000002</v>
      </c>
      <c r="K38">
        <v>35</v>
      </c>
      <c r="L38" s="8">
        <f t="shared" ca="1" si="22"/>
        <v>45672.74</v>
      </c>
      <c r="M38" s="9">
        <f t="shared" ca="1" si="23"/>
        <v>0.26952004200000002</v>
      </c>
      <c r="N38" s="12">
        <f t="shared" ca="1" si="24"/>
        <v>17.579999999999998</v>
      </c>
      <c r="O38" s="13">
        <f t="shared" ca="1" si="25"/>
        <v>3.3018348000000031E-2</v>
      </c>
      <c r="P38" s="22">
        <f t="shared" ca="1" si="26"/>
        <v>0.64680000000000004</v>
      </c>
      <c r="Q38" s="15">
        <f t="shared" ca="1" si="27"/>
        <v>0.56207415000000005</v>
      </c>
      <c r="R38" s="17">
        <f t="shared" ca="1" si="28"/>
        <v>6.79</v>
      </c>
      <c r="S38" s="18">
        <f t="shared" ca="1" si="29"/>
        <v>0.35611488000000002</v>
      </c>
      <c r="T38" s="20">
        <f t="shared" ca="1" si="30"/>
        <v>32.39</v>
      </c>
      <c r="U38" s="21">
        <f t="shared" ca="1" si="31"/>
        <v>0.26952004200000002</v>
      </c>
    </row>
    <row r="39" spans="2:21" x14ac:dyDescent="0.25">
      <c r="B39" s="1">
        <v>36</v>
      </c>
      <c r="C39">
        <f t="shared" ca="1" si="16"/>
        <v>1.03</v>
      </c>
      <c r="D39">
        <f t="shared" ca="1" si="17"/>
        <v>39.89</v>
      </c>
      <c r="E39" s="5">
        <f t="shared" ca="1" si="18"/>
        <v>0.20319999999999999</v>
      </c>
      <c r="F39">
        <f t="shared" ca="1" si="19"/>
        <v>8.92</v>
      </c>
      <c r="G39">
        <f t="shared" ca="1" si="20"/>
        <v>42.32</v>
      </c>
      <c r="H39" s="6">
        <f t="shared" ca="1" si="21"/>
        <v>4.4553399000000007E-2</v>
      </c>
      <c r="K39">
        <v>36</v>
      </c>
      <c r="L39" s="8">
        <f t="shared" ca="1" si="22"/>
        <v>46493.14</v>
      </c>
      <c r="M39" s="9">
        <f t="shared" ca="1" si="23"/>
        <v>0.17858986199999999</v>
      </c>
      <c r="N39" s="12">
        <f t="shared" ca="1" si="24"/>
        <v>18.52</v>
      </c>
      <c r="O39" s="13">
        <f t="shared" ca="1" si="25"/>
        <v>0.29046507600000004</v>
      </c>
      <c r="P39" s="22">
        <f t="shared" ca="1" si="26"/>
        <v>0.65539999999999998</v>
      </c>
      <c r="Q39" s="15">
        <f t="shared" ca="1" si="27"/>
        <v>0.12252500699999999</v>
      </c>
      <c r="R39" s="17">
        <f t="shared" ca="1" si="28"/>
        <v>6.86</v>
      </c>
      <c r="S39" s="18">
        <f t="shared" ca="1" si="29"/>
        <v>0.41363622299999997</v>
      </c>
      <c r="T39" s="20">
        <f t="shared" ca="1" si="30"/>
        <v>32.76</v>
      </c>
      <c r="U39" s="21">
        <f t="shared" ca="1" si="31"/>
        <v>9.6196716000000043E-2</v>
      </c>
    </row>
    <row r="40" spans="2:21" x14ac:dyDescent="0.25">
      <c r="B40" s="1">
        <v>37</v>
      </c>
      <c r="C40">
        <f t="shared" ca="1" si="16"/>
        <v>93444.87</v>
      </c>
      <c r="D40">
        <f t="shared" ca="1" si="17"/>
        <v>9</v>
      </c>
      <c r="E40" s="5">
        <f t="shared" ca="1" si="18"/>
        <v>0.87760000000000005</v>
      </c>
      <c r="F40">
        <f t="shared" ca="1" si="19"/>
        <v>4.1100000000000003</v>
      </c>
      <c r="G40">
        <f t="shared" ca="1" si="20"/>
        <v>14.01</v>
      </c>
      <c r="H40" s="6">
        <f t="shared" ca="1" si="21"/>
        <v>0.55133057099999994</v>
      </c>
      <c r="K40">
        <v>37</v>
      </c>
      <c r="L40" s="8">
        <f t="shared" ca="1" si="22"/>
        <v>54619.47</v>
      </c>
      <c r="M40" s="9">
        <f t="shared" ca="1" si="23"/>
        <v>0.41536925099999999</v>
      </c>
      <c r="N40" s="12">
        <f t="shared" ca="1" si="24"/>
        <v>20.76</v>
      </c>
      <c r="O40" s="13">
        <f t="shared" ca="1" si="25"/>
        <v>0.41363622299999997</v>
      </c>
      <c r="P40" s="22">
        <f t="shared" ca="1" si="26"/>
        <v>0.69410000000000005</v>
      </c>
      <c r="Q40" s="15">
        <f t="shared" ca="1" si="27"/>
        <v>0.260654196</v>
      </c>
      <c r="R40" s="17">
        <f t="shared" ca="1" si="28"/>
        <v>7.03</v>
      </c>
      <c r="S40" s="18">
        <f t="shared" ca="1" si="29"/>
        <v>0.12252500699999999</v>
      </c>
      <c r="T40" s="20">
        <f t="shared" ca="1" si="30"/>
        <v>33.44</v>
      </c>
      <c r="U40" s="21">
        <f t="shared" ca="1" si="31"/>
        <v>0.21122468400000002</v>
      </c>
    </row>
    <row r="41" spans="2:21" x14ac:dyDescent="0.25">
      <c r="B41" s="1">
        <v>38</v>
      </c>
      <c r="C41">
        <f t="shared" ca="1" si="16"/>
        <v>99361.41</v>
      </c>
      <c r="D41">
        <f t="shared" ca="1" si="17"/>
        <v>13.25</v>
      </c>
      <c r="E41" s="5">
        <f t="shared" ca="1" si="18"/>
        <v>0.32469999999999999</v>
      </c>
      <c r="F41">
        <f t="shared" ca="1" si="19"/>
        <v>4.1100000000000003</v>
      </c>
      <c r="G41">
        <f t="shared" ca="1" si="20"/>
        <v>10.57</v>
      </c>
      <c r="H41" s="6">
        <f t="shared" ca="1" si="21"/>
        <v>0.570855153</v>
      </c>
      <c r="K41">
        <v>38</v>
      </c>
      <c r="L41" s="8">
        <f t="shared" ca="1" si="22"/>
        <v>55000.160000000003</v>
      </c>
      <c r="M41" s="9">
        <f t="shared" ca="1" si="23"/>
        <v>0.50861302800000008</v>
      </c>
      <c r="N41" s="12">
        <f t="shared" ca="1" si="24"/>
        <v>21.14</v>
      </c>
      <c r="O41" s="13">
        <f t="shared" ca="1" si="25"/>
        <v>0.118807656</v>
      </c>
      <c r="P41" s="22">
        <f t="shared" ca="1" si="26"/>
        <v>0.72819999999999996</v>
      </c>
      <c r="Q41" s="15">
        <f t="shared" ca="1" si="27"/>
        <v>0.29046507600000004</v>
      </c>
      <c r="R41" s="17">
        <f t="shared" ca="1" si="28"/>
        <v>7.12</v>
      </c>
      <c r="S41" s="18">
        <f t="shared" ca="1" si="29"/>
        <v>0.26952004200000002</v>
      </c>
      <c r="T41" s="20">
        <f t="shared" ca="1" si="30"/>
        <v>33.69</v>
      </c>
      <c r="U41" s="21">
        <f t="shared" ca="1" si="31"/>
        <v>0.56207415000000005</v>
      </c>
    </row>
    <row r="42" spans="2:21" x14ac:dyDescent="0.25">
      <c r="B42" s="1">
        <v>39</v>
      </c>
      <c r="C42">
        <f t="shared" ca="1" si="16"/>
        <v>3.98</v>
      </c>
      <c r="D42">
        <f t="shared" ca="1" si="17"/>
        <v>6.28</v>
      </c>
      <c r="E42" s="5">
        <f t="shared" ca="1" si="18"/>
        <v>0.42630000000000001</v>
      </c>
      <c r="F42">
        <f t="shared" ca="1" si="19"/>
        <v>5.84</v>
      </c>
      <c r="G42">
        <f t="shared" ca="1" si="20"/>
        <v>25.53</v>
      </c>
      <c r="H42" s="6">
        <f t="shared" ca="1" si="21"/>
        <v>0.171613134</v>
      </c>
      <c r="K42">
        <v>39</v>
      </c>
      <c r="L42" s="8">
        <f t="shared" ca="1" si="22"/>
        <v>56446.1</v>
      </c>
      <c r="M42" s="9">
        <f t="shared" ca="1" si="23"/>
        <v>0.23577212999999997</v>
      </c>
      <c r="N42" s="12">
        <f t="shared" ca="1" si="24"/>
        <v>21.65</v>
      </c>
      <c r="O42" s="13">
        <f t="shared" ca="1" si="25"/>
        <v>0.13737329100000001</v>
      </c>
      <c r="P42" s="22">
        <f t="shared" ca="1" si="26"/>
        <v>0.73499999999999999</v>
      </c>
      <c r="Q42" s="15">
        <f t="shared" ca="1" si="27"/>
        <v>0.22978101300000003</v>
      </c>
      <c r="R42" s="17">
        <f t="shared" ca="1" si="28"/>
        <v>7.12</v>
      </c>
      <c r="S42" s="18">
        <f t="shared" ca="1" si="29"/>
        <v>0.26952004200000002</v>
      </c>
      <c r="T42" s="20">
        <f t="shared" ca="1" si="30"/>
        <v>34.76</v>
      </c>
      <c r="U42" s="21">
        <f t="shared" ca="1" si="31"/>
        <v>0.17996388300000005</v>
      </c>
    </row>
    <row r="43" spans="2:21" x14ac:dyDescent="0.25">
      <c r="B43" s="1">
        <v>40</v>
      </c>
      <c r="C43">
        <f t="shared" ca="1" si="16"/>
        <v>9.8699999999999992</v>
      </c>
      <c r="D43">
        <f t="shared" ca="1" si="17"/>
        <v>0.75</v>
      </c>
      <c r="E43" s="5">
        <f t="shared" ca="1" si="18"/>
        <v>0.89339999999999997</v>
      </c>
      <c r="F43">
        <f t="shared" ca="1" si="19"/>
        <v>7.99</v>
      </c>
      <c r="G43">
        <f t="shared" ca="1" si="20"/>
        <v>20.18</v>
      </c>
      <c r="H43" s="6">
        <f t="shared" ca="1" si="21"/>
        <v>8.2945070999999995E-2</v>
      </c>
      <c r="K43">
        <v>40</v>
      </c>
      <c r="L43" s="8">
        <f t="shared" ca="1" si="22"/>
        <v>60700.63</v>
      </c>
      <c r="M43" s="9">
        <f t="shared" ca="1" si="23"/>
        <v>0.50762457900000002</v>
      </c>
      <c r="N43" s="12">
        <f t="shared" ca="1" si="24"/>
        <v>22.46</v>
      </c>
      <c r="O43" s="13">
        <f t="shared" ca="1" si="25"/>
        <v>0.26952004200000002</v>
      </c>
      <c r="P43" s="22">
        <f t="shared" ca="1" si="26"/>
        <v>0.74580000000000002</v>
      </c>
      <c r="Q43" s="15">
        <f t="shared" ca="1" si="27"/>
        <v>0.23577212999999997</v>
      </c>
      <c r="R43" s="17">
        <f t="shared" ca="1" si="28"/>
        <v>7.99</v>
      </c>
      <c r="S43" s="18">
        <f t="shared" ca="1" si="29"/>
        <v>8.2945070999999995E-2</v>
      </c>
      <c r="T43" s="20">
        <f t="shared" ca="1" si="30"/>
        <v>34.869999999999997</v>
      </c>
      <c r="U43" s="21">
        <f t="shared" ca="1" si="31"/>
        <v>0.12252500699999999</v>
      </c>
    </row>
    <row r="44" spans="2:21" x14ac:dyDescent="0.25">
      <c r="B44" s="1">
        <v>41</v>
      </c>
      <c r="C44">
        <f t="shared" ca="1" si="16"/>
        <v>8775.52</v>
      </c>
      <c r="D44">
        <f t="shared" ca="1" si="17"/>
        <v>8.4700000000000006</v>
      </c>
      <c r="E44" s="5">
        <f t="shared" ca="1" si="18"/>
        <v>3.4099999999999998E-2</v>
      </c>
      <c r="F44">
        <f t="shared" ca="1" si="19"/>
        <v>8.3699999999999992</v>
      </c>
      <c r="G44">
        <f t="shared" ca="1" si="20"/>
        <v>32.76</v>
      </c>
      <c r="H44" s="6">
        <f t="shared" ca="1" si="21"/>
        <v>9.6196716000000043E-2</v>
      </c>
      <c r="K44">
        <v>41</v>
      </c>
      <c r="L44" s="8">
        <f t="shared" ca="1" si="22"/>
        <v>62573.53</v>
      </c>
      <c r="M44" s="9">
        <f t="shared" ca="1" si="23"/>
        <v>0.35994264900000006</v>
      </c>
      <c r="N44" s="12">
        <f t="shared" ca="1" si="24"/>
        <v>23.16</v>
      </c>
      <c r="O44" s="13">
        <f t="shared" ca="1" si="25"/>
        <v>0.50861302800000008</v>
      </c>
      <c r="P44" s="22">
        <f t="shared" ca="1" si="26"/>
        <v>0.75429999999999997</v>
      </c>
      <c r="Q44" s="15">
        <f t="shared" ca="1" si="27"/>
        <v>0.227704884</v>
      </c>
      <c r="R44" s="17">
        <f t="shared" ca="1" si="28"/>
        <v>8.0500000000000007</v>
      </c>
      <c r="S44" s="18">
        <f t="shared" ca="1" si="29"/>
        <v>0.11070480299999999</v>
      </c>
      <c r="T44" s="20">
        <f t="shared" ca="1" si="30"/>
        <v>34.97</v>
      </c>
      <c r="U44" s="21">
        <f t="shared" ca="1" si="31"/>
        <v>3.3018348000000031E-2</v>
      </c>
    </row>
    <row r="45" spans="2:21" x14ac:dyDescent="0.25">
      <c r="B45" s="1">
        <v>42</v>
      </c>
      <c r="C45">
        <f t="shared" ca="1" si="16"/>
        <v>3719.09</v>
      </c>
      <c r="D45">
        <f t="shared" ca="1" si="17"/>
        <v>10.34</v>
      </c>
      <c r="E45" s="5">
        <f t="shared" ca="1" si="18"/>
        <v>0.82489999999999997</v>
      </c>
      <c r="F45">
        <f t="shared" ca="1" si="19"/>
        <v>2.4300000000000002</v>
      </c>
      <c r="G45">
        <f t="shared" ca="1" si="20"/>
        <v>40.020000000000003</v>
      </c>
      <c r="H45" s="6">
        <f t="shared" ca="1" si="21"/>
        <v>0.32453549700000006</v>
      </c>
      <c r="K45">
        <v>42</v>
      </c>
      <c r="L45" s="8">
        <f t="shared" ca="1" si="22"/>
        <v>65945.009999999995</v>
      </c>
      <c r="M45" s="9">
        <f t="shared" ca="1" si="23"/>
        <v>0.46924353299999999</v>
      </c>
      <c r="N45" s="12">
        <f t="shared" ca="1" si="24"/>
        <v>23.91</v>
      </c>
      <c r="O45" s="13">
        <f t="shared" ca="1" si="25"/>
        <v>0.24761160600000001</v>
      </c>
      <c r="P45" s="22">
        <f t="shared" ca="1" si="26"/>
        <v>0.76629999999999998</v>
      </c>
      <c r="Q45" s="15">
        <f t="shared" ca="1" si="27"/>
        <v>0.5589276660000001</v>
      </c>
      <c r="R45" s="17">
        <f t="shared" ca="1" si="28"/>
        <v>8.08</v>
      </c>
      <c r="S45" s="18">
        <f t="shared" ca="1" si="29"/>
        <v>0.204581289</v>
      </c>
      <c r="T45" s="20">
        <f t="shared" ca="1" si="30"/>
        <v>38.83</v>
      </c>
      <c r="U45" s="21">
        <f t="shared" ca="1" si="31"/>
        <v>0.26339890500000002</v>
      </c>
    </row>
    <row r="46" spans="2:21" x14ac:dyDescent="0.25">
      <c r="B46" s="1">
        <v>43</v>
      </c>
      <c r="C46">
        <f t="shared" ca="1" si="16"/>
        <v>56446.1</v>
      </c>
      <c r="D46">
        <f t="shared" ca="1" si="17"/>
        <v>27.75</v>
      </c>
      <c r="E46" s="5">
        <f t="shared" ca="1" si="18"/>
        <v>0.74580000000000002</v>
      </c>
      <c r="F46">
        <f t="shared" ca="1" si="19"/>
        <v>8.8000000000000007</v>
      </c>
      <c r="G46">
        <f t="shared" ca="1" si="20"/>
        <v>23.13</v>
      </c>
      <c r="H46" s="6">
        <f t="shared" ca="1" si="21"/>
        <v>0.23577212999999997</v>
      </c>
      <c r="K46">
        <v>43</v>
      </c>
      <c r="L46" s="8">
        <f t="shared" ca="1" si="22"/>
        <v>67788.600000000006</v>
      </c>
      <c r="M46" s="9">
        <f t="shared" ca="1" si="23"/>
        <v>0.35611488000000002</v>
      </c>
      <c r="N46" s="12">
        <f t="shared" ca="1" si="24"/>
        <v>25.38</v>
      </c>
      <c r="O46" s="13">
        <f t="shared" ca="1" si="25"/>
        <v>0.28124556900000008</v>
      </c>
      <c r="P46" s="22">
        <f t="shared" ca="1" si="26"/>
        <v>0.77149999999999996</v>
      </c>
      <c r="Q46" s="15">
        <f t="shared" ca="1" si="27"/>
        <v>0.35994264900000006</v>
      </c>
      <c r="R46" s="17">
        <f t="shared" ca="1" si="28"/>
        <v>8.26</v>
      </c>
      <c r="S46" s="18">
        <f t="shared" ca="1" si="29"/>
        <v>0.21673165800000002</v>
      </c>
      <c r="T46" s="20">
        <f t="shared" ca="1" si="30"/>
        <v>39.22</v>
      </c>
      <c r="U46" s="21">
        <f t="shared" ca="1" si="31"/>
        <v>0.21516211200000002</v>
      </c>
    </row>
    <row r="47" spans="2:21" x14ac:dyDescent="0.25">
      <c r="B47" s="1">
        <v>44</v>
      </c>
      <c r="C47">
        <f t="shared" ca="1" si="16"/>
        <v>2159.5100000000002</v>
      </c>
      <c r="D47">
        <f t="shared" ca="1" si="17"/>
        <v>36.83</v>
      </c>
      <c r="E47" s="5">
        <f t="shared" ca="1" si="18"/>
        <v>3.56E-2</v>
      </c>
      <c r="F47">
        <f t="shared" ca="1" si="19"/>
        <v>5.81</v>
      </c>
      <c r="G47">
        <f t="shared" ca="1" si="20"/>
        <v>34.76</v>
      </c>
      <c r="H47" s="6">
        <f t="shared" ca="1" si="21"/>
        <v>0.17996388300000005</v>
      </c>
      <c r="K47">
        <v>44</v>
      </c>
      <c r="L47" s="8">
        <f t="shared" ca="1" si="22"/>
        <v>69497.02</v>
      </c>
      <c r="M47" s="9">
        <f t="shared" ca="1" si="23"/>
        <v>0.5589276660000001</v>
      </c>
      <c r="N47" s="12">
        <f t="shared" ca="1" si="24"/>
        <v>27.46</v>
      </c>
      <c r="O47" s="13">
        <f t="shared" ca="1" si="25"/>
        <v>0.29107296899999996</v>
      </c>
      <c r="P47" s="22">
        <f t="shared" ca="1" si="26"/>
        <v>0.77270000000000005</v>
      </c>
      <c r="Q47" s="15">
        <f t="shared" ca="1" si="27"/>
        <v>0.17858986199999999</v>
      </c>
      <c r="R47" s="17">
        <f t="shared" ca="1" si="28"/>
        <v>8.3699999999999992</v>
      </c>
      <c r="S47" s="18">
        <f t="shared" ca="1" si="29"/>
        <v>9.6196716000000043E-2</v>
      </c>
      <c r="T47" s="20">
        <f t="shared" ca="1" si="30"/>
        <v>40.020000000000003</v>
      </c>
      <c r="U47" s="21">
        <f t="shared" ca="1" si="31"/>
        <v>0.32453549700000006</v>
      </c>
    </row>
    <row r="48" spans="2:21" x14ac:dyDescent="0.25">
      <c r="B48" s="1">
        <v>45</v>
      </c>
      <c r="C48">
        <f t="shared" ca="1" si="16"/>
        <v>2769.72</v>
      </c>
      <c r="D48">
        <f t="shared" ca="1" si="17"/>
        <v>18.52</v>
      </c>
      <c r="E48" s="5">
        <f t="shared" ca="1" si="18"/>
        <v>0.72819999999999996</v>
      </c>
      <c r="F48">
        <f t="shared" ca="1" si="19"/>
        <v>3.18</v>
      </c>
      <c r="G48">
        <f t="shared" ca="1" si="20"/>
        <v>42.94</v>
      </c>
      <c r="H48" s="6">
        <f t="shared" ca="1" si="21"/>
        <v>0.29046507600000004</v>
      </c>
      <c r="K48">
        <v>45</v>
      </c>
      <c r="L48" s="8">
        <f t="shared" ca="1" si="22"/>
        <v>72545.2</v>
      </c>
      <c r="M48" s="9">
        <f t="shared" ca="1" si="23"/>
        <v>0.55867416000000003</v>
      </c>
      <c r="N48" s="12">
        <f t="shared" ca="1" si="24"/>
        <v>27.75</v>
      </c>
      <c r="O48" s="13">
        <f t="shared" ca="1" si="25"/>
        <v>0.23577212999999997</v>
      </c>
      <c r="P48" s="22">
        <f t="shared" ca="1" si="26"/>
        <v>0.77510000000000001</v>
      </c>
      <c r="Q48" s="15">
        <f t="shared" ca="1" si="27"/>
        <v>4.5156572999999985E-2</v>
      </c>
      <c r="R48" s="17">
        <f t="shared" ca="1" si="28"/>
        <v>8.5299999999999994</v>
      </c>
      <c r="S48" s="18">
        <f t="shared" ca="1" si="29"/>
        <v>6.0662151000000032E-2</v>
      </c>
      <c r="T48" s="20">
        <f t="shared" ca="1" si="30"/>
        <v>42.32</v>
      </c>
      <c r="U48" s="21">
        <f t="shared" ca="1" si="31"/>
        <v>4.4553399000000007E-2</v>
      </c>
    </row>
    <row r="49" spans="2:21" x14ac:dyDescent="0.25">
      <c r="B49" s="1">
        <v>46</v>
      </c>
      <c r="C49">
        <f t="shared" ca="1" si="16"/>
        <v>5200.6400000000003</v>
      </c>
      <c r="D49">
        <f t="shared" ca="1" si="17"/>
        <v>31.87</v>
      </c>
      <c r="E49" s="5">
        <f t="shared" ca="1" si="18"/>
        <v>8.3900000000000002E-2</v>
      </c>
      <c r="F49">
        <f t="shared" ca="1" si="19"/>
        <v>5.2</v>
      </c>
      <c r="G49">
        <f t="shared" ca="1" si="20"/>
        <v>39.22</v>
      </c>
      <c r="H49" s="6">
        <f t="shared" ca="1" si="21"/>
        <v>0.21516211200000002</v>
      </c>
      <c r="K49">
        <v>46</v>
      </c>
      <c r="L49" s="8">
        <f t="shared" ca="1" si="22"/>
        <v>74827.3</v>
      </c>
      <c r="M49" s="9">
        <f t="shared" ca="1" si="23"/>
        <v>0.57033009000000001</v>
      </c>
      <c r="N49" s="12">
        <f t="shared" ca="1" si="24"/>
        <v>31.87</v>
      </c>
      <c r="O49" s="13">
        <f t="shared" ca="1" si="25"/>
        <v>0.21516211200000002</v>
      </c>
      <c r="P49" s="22">
        <f t="shared" ca="1" si="26"/>
        <v>0.80610000000000004</v>
      </c>
      <c r="Q49" s="15">
        <f t="shared" ca="1" si="27"/>
        <v>0.41363622299999997</v>
      </c>
      <c r="R49" s="17">
        <f t="shared" ca="1" si="28"/>
        <v>8.7100000000000009</v>
      </c>
      <c r="S49" s="18">
        <f t="shared" ca="1" si="29"/>
        <v>6.2881961999999972E-2</v>
      </c>
      <c r="T49" s="20">
        <f t="shared" ca="1" si="30"/>
        <v>42.78</v>
      </c>
      <c r="U49" s="21">
        <f t="shared" ca="1" si="31"/>
        <v>0.11070480299999999</v>
      </c>
    </row>
    <row r="50" spans="2:21" x14ac:dyDescent="0.25">
      <c r="B50" s="1">
        <v>47</v>
      </c>
      <c r="C50">
        <f t="shared" ca="1" si="16"/>
        <v>3.79</v>
      </c>
      <c r="D50">
        <f t="shared" ca="1" si="17"/>
        <v>-8.74</v>
      </c>
      <c r="E50" s="5">
        <f t="shared" ca="1" si="18"/>
        <v>0.65539999999999998</v>
      </c>
      <c r="F50">
        <f t="shared" ca="1" si="19"/>
        <v>7.03</v>
      </c>
      <c r="G50">
        <f t="shared" ca="1" si="20"/>
        <v>34.869999999999997</v>
      </c>
      <c r="H50" s="6">
        <f t="shared" ca="1" si="21"/>
        <v>0.12252500699999999</v>
      </c>
      <c r="K50">
        <v>47</v>
      </c>
      <c r="L50" s="8">
        <f t="shared" ca="1" si="22"/>
        <v>86094.31</v>
      </c>
      <c r="M50" s="9">
        <f t="shared" ca="1" si="23"/>
        <v>0.41363622299999997</v>
      </c>
      <c r="N50" s="12">
        <f t="shared" ca="1" si="24"/>
        <v>32.840000000000003</v>
      </c>
      <c r="O50" s="13">
        <f t="shared" ca="1" si="25"/>
        <v>0.21673165800000002</v>
      </c>
      <c r="P50" s="22">
        <f t="shared" ca="1" si="26"/>
        <v>0.80869999999999997</v>
      </c>
      <c r="Q50" s="15">
        <f t="shared" ca="1" si="27"/>
        <v>6.0662151000000032E-2</v>
      </c>
      <c r="R50" s="17">
        <f t="shared" ca="1" si="28"/>
        <v>8.8000000000000007</v>
      </c>
      <c r="S50" s="18">
        <f t="shared" ca="1" si="29"/>
        <v>0.23577212999999997</v>
      </c>
      <c r="T50" s="20">
        <f t="shared" ca="1" si="30"/>
        <v>42.94</v>
      </c>
      <c r="U50" s="21">
        <f t="shared" ca="1" si="31"/>
        <v>0.29046507600000004</v>
      </c>
    </row>
    <row r="51" spans="2:21" x14ac:dyDescent="0.25">
      <c r="B51" s="1">
        <v>48</v>
      </c>
      <c r="C51">
        <f t="shared" ca="1" si="16"/>
        <v>67788.600000000006</v>
      </c>
      <c r="D51">
        <f t="shared" ca="1" si="17"/>
        <v>17.16</v>
      </c>
      <c r="E51" s="5">
        <f t="shared" ca="1" si="18"/>
        <v>0.45619999999999999</v>
      </c>
      <c r="F51">
        <f t="shared" ca="1" si="19"/>
        <v>6.79</v>
      </c>
      <c r="G51">
        <f t="shared" ca="1" si="20"/>
        <v>44.12</v>
      </c>
      <c r="H51" s="6">
        <f t="shared" ca="1" si="21"/>
        <v>0.35611488000000002</v>
      </c>
      <c r="K51">
        <v>48</v>
      </c>
      <c r="L51" s="8">
        <f t="shared" ca="1" si="22"/>
        <v>86450.5</v>
      </c>
      <c r="M51" s="9">
        <f t="shared" ca="1" si="23"/>
        <v>0.56207415000000005</v>
      </c>
      <c r="N51" s="12">
        <f t="shared" ca="1" si="24"/>
        <v>34.130000000000003</v>
      </c>
      <c r="O51" s="13">
        <f t="shared" ca="1" si="25"/>
        <v>0.41536925099999999</v>
      </c>
      <c r="P51" s="22">
        <f t="shared" ca="1" si="26"/>
        <v>0.82489999999999997</v>
      </c>
      <c r="Q51" s="15">
        <f t="shared" ca="1" si="27"/>
        <v>0.32453549700000006</v>
      </c>
      <c r="R51" s="17">
        <f t="shared" ca="1" si="28"/>
        <v>8.92</v>
      </c>
      <c r="S51" s="18">
        <f t="shared" ca="1" si="29"/>
        <v>4.4553399000000007E-2</v>
      </c>
      <c r="T51" s="20">
        <f t="shared" ca="1" si="30"/>
        <v>43.05</v>
      </c>
      <c r="U51" s="21">
        <f t="shared" ca="1" si="31"/>
        <v>0.46924353299999999</v>
      </c>
    </row>
    <row r="52" spans="2:21" x14ac:dyDescent="0.25">
      <c r="B52" s="1">
        <v>49</v>
      </c>
      <c r="C52">
        <f t="shared" ca="1" si="16"/>
        <v>4908.82</v>
      </c>
      <c r="D52">
        <f t="shared" ca="1" si="17"/>
        <v>23.91</v>
      </c>
      <c r="E52" s="5">
        <f t="shared" ca="1" si="18"/>
        <v>0.18140000000000001</v>
      </c>
      <c r="F52">
        <f t="shared" ca="1" si="19"/>
        <v>4.3899999999999997</v>
      </c>
      <c r="G52">
        <f t="shared" ca="1" si="20"/>
        <v>19.12</v>
      </c>
      <c r="H52" s="6">
        <f t="shared" ca="1" si="21"/>
        <v>0.24761160600000001</v>
      </c>
      <c r="K52">
        <v>49</v>
      </c>
      <c r="L52" s="8">
        <f t="shared" ca="1" si="22"/>
        <v>93444.87</v>
      </c>
      <c r="M52" s="9">
        <f t="shared" ca="1" si="23"/>
        <v>0.55133057099999994</v>
      </c>
      <c r="N52" s="12">
        <f t="shared" ca="1" si="24"/>
        <v>36.83</v>
      </c>
      <c r="O52" s="13">
        <f t="shared" ca="1" si="25"/>
        <v>0.17996388300000005</v>
      </c>
      <c r="P52" s="22">
        <f t="shared" ca="1" si="26"/>
        <v>0.86799999999999999</v>
      </c>
      <c r="Q52" s="15">
        <f t="shared" ca="1" si="27"/>
        <v>0.50861302800000008</v>
      </c>
      <c r="R52" s="17">
        <f t="shared" ca="1" si="28"/>
        <v>9.1999999999999993</v>
      </c>
      <c r="S52" s="18">
        <f t="shared" ca="1" si="29"/>
        <v>3.3018348000000031E-2</v>
      </c>
      <c r="T52" s="20">
        <f t="shared" ca="1" si="30"/>
        <v>44.12</v>
      </c>
      <c r="U52" s="21">
        <f t="shared" ca="1" si="31"/>
        <v>0.35611488000000002</v>
      </c>
    </row>
    <row r="53" spans="2:21" ht="15.75" thickBot="1" x14ac:dyDescent="0.3">
      <c r="B53" s="1">
        <v>50</v>
      </c>
      <c r="C53">
        <f t="shared" ca="1" si="16"/>
        <v>2.75</v>
      </c>
      <c r="D53">
        <f t="shared" ca="1" si="17"/>
        <v>-8.4600000000000009</v>
      </c>
      <c r="E53" s="5">
        <f t="shared" ca="1" si="18"/>
        <v>0.29770000000000002</v>
      </c>
      <c r="F53">
        <f t="shared" ca="1" si="19"/>
        <v>6.73</v>
      </c>
      <c r="G53">
        <f t="shared" ca="1" si="20"/>
        <v>32.020000000000003</v>
      </c>
      <c r="H53" s="6">
        <f t="shared" ca="1" si="21"/>
        <v>0.13489657499999999</v>
      </c>
      <c r="K53">
        <v>50</v>
      </c>
      <c r="L53" s="8">
        <f t="shared" ca="1" si="22"/>
        <v>99361.41</v>
      </c>
      <c r="M53" s="9">
        <f t="shared" ca="1" si="23"/>
        <v>0.570855153</v>
      </c>
      <c r="N53" s="12">
        <f t="shared" ca="1" si="24"/>
        <v>37.72</v>
      </c>
      <c r="O53" s="13">
        <f t="shared" ca="1" si="25"/>
        <v>0.16194984300000001</v>
      </c>
      <c r="P53" s="22">
        <f t="shared" ca="1" si="26"/>
        <v>0.87760000000000005</v>
      </c>
      <c r="Q53" s="15">
        <f t="shared" ca="1" si="27"/>
        <v>0.55133057099999994</v>
      </c>
      <c r="R53" s="17">
        <f t="shared" ca="1" si="28"/>
        <v>9.39</v>
      </c>
      <c r="S53" s="18">
        <f t="shared" ca="1" si="29"/>
        <v>0.17858986199999999</v>
      </c>
      <c r="T53" s="20">
        <f t="shared" ca="1" si="30"/>
        <v>46.27</v>
      </c>
      <c r="U53" s="21">
        <f t="shared" ca="1" si="31"/>
        <v>0.29107296899999996</v>
      </c>
    </row>
    <row r="54" spans="2:21" x14ac:dyDescent="0.25">
      <c r="B54" s="57" t="s">
        <v>70</v>
      </c>
      <c r="C54" s="58">
        <f ca="1">AVERAGE(C4:C53)</f>
        <v>26351.782000000007</v>
      </c>
      <c r="D54" s="58">
        <f t="shared" ref="D54:H54" ca="1" si="32">AVERAGE(D4:D53)</f>
        <v>12.626799999999994</v>
      </c>
      <c r="E54" s="58">
        <f t="shared" ca="1" si="32"/>
        <v>0.46605399999999997</v>
      </c>
      <c r="F54" s="58">
        <f t="shared" ca="1" si="32"/>
        <v>5.7580000000000018</v>
      </c>
      <c r="G54" s="58">
        <f t="shared" ca="1" si="32"/>
        <v>25.923999999999999</v>
      </c>
      <c r="H54" s="66">
        <f t="shared" ca="1" si="32"/>
        <v>0.26194338059999994</v>
      </c>
      <c r="L54" s="8"/>
      <c r="M54" s="9"/>
      <c r="N54" s="12"/>
      <c r="O54" s="13"/>
      <c r="P54" s="22"/>
      <c r="Q54" s="15"/>
      <c r="R54" s="17"/>
      <c r="S54" s="18"/>
      <c r="T54" s="20"/>
      <c r="U54" s="21"/>
    </row>
    <row r="55" spans="2:21" x14ac:dyDescent="0.25">
      <c r="B55" s="60" t="s">
        <v>71</v>
      </c>
      <c r="C55" s="61">
        <f ca="1">MAX(C4:C53)</f>
        <v>99361.41</v>
      </c>
      <c r="D55" s="61">
        <f t="shared" ref="D55:H55" ca="1" si="33">MAX(D4:D53)</f>
        <v>39.89</v>
      </c>
      <c r="E55" s="61">
        <f t="shared" ca="1" si="33"/>
        <v>0.89339999999999997</v>
      </c>
      <c r="F55" s="61">
        <f t="shared" ca="1" si="33"/>
        <v>9.91</v>
      </c>
      <c r="G55" s="61">
        <f t="shared" ca="1" si="33"/>
        <v>48.76</v>
      </c>
      <c r="H55" s="67">
        <f t="shared" ca="1" si="33"/>
        <v>0.570855153</v>
      </c>
      <c r="L55" s="8"/>
      <c r="M55" s="9"/>
      <c r="N55" s="12"/>
      <c r="O55" s="13"/>
      <c r="P55" s="22"/>
      <c r="Q55" s="15"/>
      <c r="R55" s="17"/>
      <c r="S55" s="18"/>
      <c r="T55" s="20"/>
      <c r="U55" s="21"/>
    </row>
    <row r="56" spans="2:21" ht="15.75" thickBot="1" x14ac:dyDescent="0.3">
      <c r="B56" s="63" t="s">
        <v>72</v>
      </c>
      <c r="C56" s="64">
        <f ca="1">MIN(C4:C53)</f>
        <v>1.03</v>
      </c>
      <c r="D56" s="64">
        <f t="shared" ref="D56:H56" ca="1" si="34">MIN(D4:D53)</f>
        <v>-9.6</v>
      </c>
      <c r="E56" s="64">
        <f t="shared" ca="1" si="34"/>
        <v>3.4099999999999998E-2</v>
      </c>
      <c r="F56" s="64">
        <f t="shared" ca="1" si="34"/>
        <v>2.0099999999999998</v>
      </c>
      <c r="G56" s="64">
        <f t="shared" ca="1" si="34"/>
        <v>6.43</v>
      </c>
      <c r="H56" s="68">
        <f t="shared" ca="1" si="34"/>
        <v>3.7304849999999943E-3</v>
      </c>
      <c r="L56" s="8"/>
      <c r="M56" s="9"/>
      <c r="N56" s="12"/>
      <c r="O56" s="13"/>
      <c r="P56" s="22"/>
      <c r="Q56" s="15"/>
      <c r="R56" s="17"/>
      <c r="S56" s="18"/>
      <c r="T56" s="20"/>
      <c r="U56" s="21"/>
    </row>
    <row r="57" spans="2:21" x14ac:dyDescent="0.25">
      <c r="B57" s="1"/>
      <c r="H57" s="6"/>
      <c r="L57" s="8"/>
      <c r="M57" s="9"/>
      <c r="N57" s="12"/>
      <c r="O57" s="13"/>
      <c r="P57" s="22"/>
      <c r="Q57" s="15"/>
      <c r="R57" s="17"/>
      <c r="S57" s="18"/>
      <c r="T57" s="20"/>
      <c r="U57" s="21"/>
    </row>
    <row r="58" spans="2:21" x14ac:dyDescent="0.25">
      <c r="B58" s="1"/>
      <c r="E58" s="5"/>
      <c r="H58" s="6"/>
      <c r="L58" s="8"/>
      <c r="M58" s="9"/>
      <c r="N58" s="12"/>
      <c r="O58" s="13"/>
      <c r="P58" s="22"/>
      <c r="Q58" s="15"/>
      <c r="R58" s="17"/>
      <c r="S58" s="18"/>
      <c r="T58" s="20"/>
      <c r="U58" s="21"/>
    </row>
    <row r="59" spans="2:21" x14ac:dyDescent="0.25">
      <c r="B59" s="1"/>
      <c r="E59" s="5"/>
      <c r="H59" s="6"/>
      <c r="L59" s="8"/>
      <c r="M59" s="9"/>
      <c r="N59" s="12"/>
      <c r="O59" s="13"/>
      <c r="P59" s="22"/>
      <c r="Q59" s="15"/>
      <c r="R59" s="17"/>
      <c r="S59" s="18"/>
      <c r="T59" s="20"/>
      <c r="U59" s="21"/>
    </row>
    <row r="60" spans="2:21" x14ac:dyDescent="0.25">
      <c r="B60" s="1"/>
      <c r="E60" s="5"/>
      <c r="H60" s="6"/>
      <c r="L60" s="8"/>
      <c r="M60" s="9"/>
      <c r="N60" s="12"/>
      <c r="O60" s="13"/>
      <c r="P60" s="22"/>
      <c r="Q60" s="15"/>
      <c r="R60" s="17"/>
      <c r="S60" s="18"/>
      <c r="T60" s="20"/>
      <c r="U60" s="21"/>
    </row>
    <row r="61" spans="2:21" x14ac:dyDescent="0.25">
      <c r="B61" s="1"/>
      <c r="E61" s="5"/>
      <c r="H61" s="6"/>
      <c r="L61" s="8"/>
      <c r="M61" s="9"/>
      <c r="N61" s="12"/>
      <c r="O61" s="13"/>
      <c r="P61" s="22"/>
      <c r="Q61" s="15"/>
      <c r="R61" s="17"/>
      <c r="S61" s="18"/>
      <c r="T61" s="20"/>
      <c r="U61" s="21"/>
    </row>
    <row r="62" spans="2:21" x14ac:dyDescent="0.25">
      <c r="B62" s="1"/>
      <c r="E62" s="5"/>
      <c r="H62" s="6"/>
      <c r="L62" s="8"/>
      <c r="M62" s="9"/>
      <c r="N62" s="12"/>
      <c r="O62" s="13"/>
      <c r="P62" s="22"/>
      <c r="Q62" s="15"/>
      <c r="R62" s="17"/>
      <c r="S62" s="18"/>
      <c r="T62" s="20"/>
      <c r="U62" s="21"/>
    </row>
    <row r="63" spans="2:21" x14ac:dyDescent="0.25">
      <c r="B63" s="1"/>
      <c r="E63" s="5"/>
      <c r="H63" s="6"/>
      <c r="L63" s="8"/>
      <c r="M63" s="9"/>
      <c r="N63" s="12"/>
      <c r="O63" s="13"/>
      <c r="P63" s="22"/>
      <c r="Q63" s="15"/>
      <c r="R63" s="17"/>
      <c r="S63" s="18"/>
      <c r="T63" s="20"/>
      <c r="U63" s="21"/>
    </row>
    <row r="64" spans="2:21" x14ac:dyDescent="0.25">
      <c r="B64" s="1"/>
      <c r="E64" s="5"/>
      <c r="H64" s="6"/>
      <c r="L64" s="8"/>
      <c r="M64" s="9"/>
      <c r="N64" s="12"/>
      <c r="O64" s="13"/>
      <c r="P64" s="22"/>
      <c r="Q64" s="15"/>
      <c r="R64" s="17"/>
      <c r="S64" s="18"/>
      <c r="T64" s="20"/>
      <c r="U64" s="21"/>
    </row>
    <row r="65" spans="2:21" x14ac:dyDescent="0.25">
      <c r="B65" s="1"/>
      <c r="E65" s="5"/>
      <c r="H65" s="6"/>
      <c r="L65" s="8"/>
      <c r="M65" s="9"/>
      <c r="N65" s="12"/>
      <c r="O65" s="13"/>
      <c r="P65" s="22"/>
      <c r="Q65" s="15"/>
      <c r="R65" s="17"/>
      <c r="S65" s="18"/>
      <c r="T65" s="20"/>
      <c r="U65" s="21"/>
    </row>
    <row r="66" spans="2:21" x14ac:dyDescent="0.25">
      <c r="B66" s="1"/>
      <c r="E66" s="5"/>
      <c r="H66" s="6"/>
      <c r="L66" s="8"/>
      <c r="M66" s="9"/>
      <c r="N66" s="12"/>
      <c r="O66" s="13"/>
      <c r="P66" s="22"/>
      <c r="Q66" s="15"/>
      <c r="R66" s="17"/>
      <c r="S66" s="18"/>
      <c r="T66" s="20"/>
      <c r="U66" s="21"/>
    </row>
    <row r="67" spans="2:21" x14ac:dyDescent="0.25">
      <c r="B67" s="1"/>
      <c r="E67" s="5"/>
      <c r="H67" s="6"/>
      <c r="L67" s="8"/>
      <c r="M67" s="9"/>
      <c r="N67" s="12"/>
      <c r="O67" s="13"/>
      <c r="P67" s="22"/>
      <c r="Q67" s="15"/>
      <c r="R67" s="17"/>
      <c r="S67" s="18"/>
      <c r="T67" s="20"/>
      <c r="U67" s="21"/>
    </row>
    <row r="68" spans="2:21" x14ac:dyDescent="0.25">
      <c r="B68" s="1"/>
      <c r="E68" s="5"/>
      <c r="H68" s="6"/>
      <c r="L68" s="8"/>
      <c r="M68" s="9"/>
      <c r="N68" s="12"/>
      <c r="O68" s="13"/>
      <c r="P68" s="22"/>
      <c r="Q68" s="15"/>
      <c r="R68" s="17"/>
      <c r="S68" s="18"/>
      <c r="T68" s="20"/>
      <c r="U68" s="21"/>
    </row>
    <row r="69" spans="2:21" x14ac:dyDescent="0.25">
      <c r="B69" s="1"/>
      <c r="E69" s="5"/>
      <c r="H69" s="6"/>
      <c r="L69" s="8"/>
      <c r="M69" s="9"/>
      <c r="N69" s="12"/>
      <c r="O69" s="13"/>
      <c r="P69" s="22"/>
      <c r="Q69" s="15"/>
      <c r="R69" s="17"/>
      <c r="S69" s="18"/>
      <c r="T69" s="20"/>
      <c r="U69" s="21"/>
    </row>
    <row r="70" spans="2:21" x14ac:dyDescent="0.25">
      <c r="B70" s="1"/>
      <c r="E70" s="5"/>
      <c r="H70" s="6"/>
      <c r="L70" s="8"/>
      <c r="M70" s="9"/>
      <c r="N70" s="12"/>
      <c r="O70" s="13"/>
      <c r="P70" s="22"/>
      <c r="Q70" s="15"/>
      <c r="R70" s="17"/>
      <c r="S70" s="18"/>
      <c r="T70" s="20"/>
      <c r="U70" s="21"/>
    </row>
    <row r="71" spans="2:21" x14ac:dyDescent="0.25">
      <c r="B71" s="1"/>
      <c r="E71" s="5"/>
      <c r="H71" s="6"/>
      <c r="L71" s="8"/>
      <c r="M71" s="9"/>
      <c r="N71" s="12"/>
      <c r="O71" s="13"/>
      <c r="P71" s="22"/>
      <c r="Q71" s="15"/>
      <c r="R71" s="17"/>
      <c r="S71" s="18"/>
      <c r="T71" s="20"/>
      <c r="U71" s="21"/>
    </row>
    <row r="72" spans="2:21" x14ac:dyDescent="0.25">
      <c r="B72" s="1"/>
      <c r="E72" s="5"/>
      <c r="H72" s="6"/>
      <c r="L72" s="8"/>
      <c r="M72" s="9"/>
      <c r="N72" s="12"/>
      <c r="O72" s="13"/>
      <c r="P72" s="22"/>
      <c r="Q72" s="15"/>
      <c r="R72" s="17"/>
      <c r="S72" s="18"/>
      <c r="T72" s="20"/>
      <c r="U72" s="21"/>
    </row>
    <row r="73" spans="2:21" x14ac:dyDescent="0.25">
      <c r="B73" s="1"/>
      <c r="E73" s="5"/>
      <c r="H73" s="6"/>
      <c r="L73" s="8"/>
      <c r="M73" s="9"/>
      <c r="N73" s="12"/>
      <c r="O73" s="13"/>
      <c r="P73" s="22"/>
      <c r="Q73" s="15"/>
      <c r="R73" s="17"/>
      <c r="S73" s="18"/>
      <c r="T73" s="20"/>
      <c r="U73" s="21"/>
    </row>
    <row r="74" spans="2:21" x14ac:dyDescent="0.25">
      <c r="B74" s="1"/>
      <c r="E74" s="5"/>
      <c r="H74" s="6"/>
      <c r="L74" s="8"/>
      <c r="M74" s="9"/>
      <c r="N74" s="12"/>
      <c r="O74" s="13"/>
      <c r="P74" s="22"/>
      <c r="Q74" s="15"/>
      <c r="R74" s="17"/>
      <c r="S74" s="18"/>
      <c r="T74" s="20"/>
      <c r="U74" s="21"/>
    </row>
    <row r="75" spans="2:21" x14ac:dyDescent="0.25">
      <c r="B75" s="1"/>
      <c r="E75" s="5"/>
      <c r="H75" s="6"/>
      <c r="L75" s="8"/>
      <c r="M75" s="9"/>
      <c r="N75" s="12"/>
      <c r="O75" s="13"/>
      <c r="P75" s="22"/>
      <c r="Q75" s="15"/>
      <c r="R75" s="17"/>
      <c r="S75" s="18"/>
      <c r="T75" s="20"/>
      <c r="U75" s="21"/>
    </row>
    <row r="76" spans="2:21" x14ac:dyDescent="0.25">
      <c r="B76" s="1"/>
      <c r="E76" s="5"/>
      <c r="H76" s="6"/>
      <c r="L76" s="8"/>
      <c r="M76" s="9"/>
      <c r="N76" s="12"/>
      <c r="O76" s="13"/>
      <c r="P76" s="22"/>
      <c r="Q76" s="15"/>
      <c r="R76" s="17"/>
      <c r="S76" s="18"/>
      <c r="T76" s="20"/>
      <c r="U76" s="21"/>
    </row>
    <row r="77" spans="2:21" x14ac:dyDescent="0.25">
      <c r="B77" s="1"/>
      <c r="E77" s="5"/>
      <c r="H77" s="6"/>
      <c r="L77" s="8"/>
      <c r="M77" s="9"/>
      <c r="N77" s="12"/>
      <c r="O77" s="13"/>
      <c r="P77" s="22"/>
      <c r="Q77" s="15"/>
      <c r="R77" s="17"/>
      <c r="S77" s="18"/>
      <c r="T77" s="20"/>
      <c r="U77" s="21"/>
    </row>
    <row r="78" spans="2:21" x14ac:dyDescent="0.25">
      <c r="B78" s="1"/>
      <c r="E78" s="5"/>
      <c r="H78" s="6"/>
      <c r="L78" s="8"/>
      <c r="M78" s="9"/>
      <c r="N78" s="12"/>
      <c r="O78" s="13"/>
      <c r="P78" s="22"/>
      <c r="Q78" s="15"/>
      <c r="R78" s="17"/>
      <c r="S78" s="18"/>
      <c r="T78" s="20"/>
      <c r="U78" s="21"/>
    </row>
    <row r="79" spans="2:21" x14ac:dyDescent="0.25">
      <c r="B79" s="1"/>
      <c r="E79" s="5"/>
      <c r="H79" s="6"/>
      <c r="L79" s="8"/>
      <c r="M79" s="9"/>
      <c r="N79" s="12"/>
      <c r="O79" s="13"/>
      <c r="P79" s="22"/>
      <c r="Q79" s="15"/>
      <c r="R79" s="17"/>
      <c r="S79" s="18"/>
      <c r="T79" s="20"/>
      <c r="U79" s="21"/>
    </row>
    <row r="80" spans="2:21" x14ac:dyDescent="0.25">
      <c r="B80" s="1"/>
      <c r="E80" s="5"/>
      <c r="H80" s="6"/>
      <c r="L80" s="8"/>
      <c r="M80" s="9"/>
      <c r="N80" s="12"/>
      <c r="O80" s="13"/>
      <c r="P80" s="22"/>
      <c r="Q80" s="15"/>
      <c r="R80" s="17"/>
      <c r="S80" s="18"/>
      <c r="T80" s="20"/>
      <c r="U80" s="21"/>
    </row>
    <row r="81" spans="2:21" x14ac:dyDescent="0.25">
      <c r="B81" s="1"/>
      <c r="E81" s="5"/>
      <c r="H81" s="6"/>
      <c r="L81" s="8"/>
      <c r="M81" s="9"/>
      <c r="N81" s="12"/>
      <c r="O81" s="13"/>
      <c r="P81" s="22"/>
      <c r="Q81" s="15"/>
      <c r="R81" s="17"/>
      <c r="S81" s="18"/>
      <c r="T81" s="20"/>
      <c r="U81" s="21"/>
    </row>
    <row r="82" spans="2:21" x14ac:dyDescent="0.25">
      <c r="B82" s="1"/>
      <c r="E82" s="5"/>
      <c r="H82" s="6"/>
      <c r="L82" s="8"/>
      <c r="M82" s="9"/>
      <c r="N82" s="12"/>
      <c r="O82" s="13"/>
      <c r="P82" s="22"/>
      <c r="Q82" s="15"/>
      <c r="R82" s="17"/>
      <c r="S82" s="18"/>
      <c r="T82" s="20"/>
      <c r="U82" s="21"/>
    </row>
    <row r="83" spans="2:21" x14ac:dyDescent="0.25">
      <c r="B83" s="1"/>
      <c r="E83" s="5"/>
      <c r="H83" s="6"/>
      <c r="L83" s="8"/>
      <c r="M83" s="9"/>
      <c r="N83" s="12"/>
      <c r="O83" s="13"/>
      <c r="P83" s="22"/>
      <c r="Q83" s="15"/>
      <c r="R83" s="17"/>
      <c r="S83" s="18"/>
      <c r="T83" s="20"/>
      <c r="U83" s="21"/>
    </row>
    <row r="84" spans="2:21" x14ac:dyDescent="0.25">
      <c r="B84" s="1"/>
      <c r="E84" s="5"/>
      <c r="H84" s="6"/>
      <c r="L84" s="8"/>
      <c r="M84" s="9"/>
      <c r="N84" s="12"/>
      <c r="O84" s="13"/>
      <c r="P84" s="22"/>
      <c r="Q84" s="15"/>
      <c r="R84" s="17"/>
      <c r="S84" s="18"/>
      <c r="T84" s="20"/>
      <c r="U84" s="21"/>
    </row>
    <row r="85" spans="2:21" x14ac:dyDescent="0.25">
      <c r="B85" s="1"/>
      <c r="E85" s="5"/>
      <c r="H85" s="6"/>
      <c r="L85" s="8"/>
      <c r="M85" s="9"/>
      <c r="N85" s="12"/>
      <c r="O85" s="13"/>
      <c r="P85" s="22"/>
      <c r="Q85" s="15"/>
      <c r="R85" s="17"/>
      <c r="S85" s="18"/>
      <c r="T85" s="20"/>
      <c r="U85" s="21"/>
    </row>
    <row r="86" spans="2:21" x14ac:dyDescent="0.25">
      <c r="B86" s="1"/>
      <c r="E86" s="5"/>
      <c r="H86" s="6"/>
      <c r="L86" s="8"/>
      <c r="M86" s="9"/>
      <c r="N86" s="12"/>
      <c r="O86" s="13"/>
      <c r="P86" s="22"/>
      <c r="Q86" s="15"/>
      <c r="R86" s="17"/>
      <c r="S86" s="18"/>
      <c r="T86" s="20"/>
      <c r="U86" s="21"/>
    </row>
    <row r="87" spans="2:21" x14ac:dyDescent="0.25">
      <c r="B87" s="1"/>
      <c r="E87" s="5"/>
      <c r="H87" s="6"/>
      <c r="L87" s="8"/>
      <c r="M87" s="9"/>
      <c r="N87" s="12"/>
      <c r="O87" s="13"/>
      <c r="P87" s="22"/>
      <c r="Q87" s="15"/>
      <c r="R87" s="17"/>
      <c r="S87" s="18"/>
      <c r="T87" s="20"/>
      <c r="U87" s="21"/>
    </row>
    <row r="88" spans="2:21" x14ac:dyDescent="0.25">
      <c r="B88" s="1"/>
      <c r="E88" s="5"/>
      <c r="H88" s="6"/>
      <c r="L88" s="8"/>
      <c r="M88" s="9"/>
      <c r="N88" s="12"/>
      <c r="O88" s="13"/>
      <c r="P88" s="22"/>
      <c r="Q88" s="15"/>
      <c r="R88" s="17"/>
      <c r="S88" s="18"/>
      <c r="T88" s="20"/>
      <c r="U88" s="21"/>
    </row>
    <row r="89" spans="2:21" x14ac:dyDescent="0.25">
      <c r="B89" s="1"/>
      <c r="E89" s="5"/>
      <c r="H89" s="6"/>
      <c r="L89" s="8"/>
      <c r="M89" s="9"/>
      <c r="N89" s="12"/>
      <c r="O89" s="13"/>
      <c r="P89" s="22"/>
      <c r="Q89" s="15"/>
      <c r="R89" s="17"/>
      <c r="S89" s="18"/>
      <c r="T89" s="20"/>
      <c r="U89" s="21"/>
    </row>
    <row r="90" spans="2:21" x14ac:dyDescent="0.25">
      <c r="B90" s="1"/>
      <c r="E90" s="5"/>
      <c r="H90" s="6"/>
      <c r="L90" s="8"/>
      <c r="M90" s="9"/>
      <c r="N90" s="12"/>
      <c r="O90" s="13"/>
      <c r="P90" s="22"/>
      <c r="Q90" s="15"/>
      <c r="R90" s="17"/>
      <c r="S90" s="18"/>
      <c r="T90" s="20"/>
      <c r="U90" s="21"/>
    </row>
    <row r="91" spans="2:21" x14ac:dyDescent="0.25">
      <c r="B91" s="1"/>
      <c r="E91" s="5"/>
      <c r="H91" s="6"/>
      <c r="L91" s="8"/>
      <c r="M91" s="9"/>
      <c r="N91" s="12"/>
      <c r="O91" s="13"/>
      <c r="P91" s="22"/>
      <c r="Q91" s="15"/>
      <c r="R91" s="17"/>
      <c r="S91" s="18"/>
      <c r="T91" s="20"/>
      <c r="U91" s="21"/>
    </row>
    <row r="92" spans="2:21" x14ac:dyDescent="0.25">
      <c r="B92" s="1"/>
      <c r="E92" s="5"/>
      <c r="H92" s="6"/>
      <c r="L92" s="8"/>
      <c r="M92" s="9"/>
      <c r="N92" s="12"/>
      <c r="O92" s="13"/>
      <c r="P92" s="22"/>
      <c r="Q92" s="15"/>
      <c r="R92" s="17"/>
      <c r="S92" s="18"/>
      <c r="T92" s="20"/>
      <c r="U92" s="21"/>
    </row>
    <row r="93" spans="2:21" x14ac:dyDescent="0.25">
      <c r="B93" s="1"/>
      <c r="E93" s="5"/>
      <c r="H93" s="6"/>
      <c r="L93" s="8"/>
      <c r="M93" s="9"/>
      <c r="N93" s="12"/>
      <c r="O93" s="13"/>
      <c r="P93" s="22"/>
      <c r="Q93" s="15"/>
      <c r="R93" s="17"/>
      <c r="S93" s="18"/>
      <c r="T93" s="20"/>
      <c r="U93" s="21"/>
    </row>
    <row r="94" spans="2:21" x14ac:dyDescent="0.25">
      <c r="B94" s="1"/>
      <c r="E94" s="5"/>
      <c r="H94" s="6"/>
      <c r="L94" s="8"/>
      <c r="M94" s="9"/>
      <c r="N94" s="12"/>
      <c r="O94" s="13"/>
      <c r="P94" s="22"/>
      <c r="Q94" s="15"/>
      <c r="R94" s="17"/>
      <c r="S94" s="18"/>
      <c r="T94" s="20"/>
      <c r="U94" s="21"/>
    </row>
    <row r="95" spans="2:21" x14ac:dyDescent="0.25">
      <c r="B95" s="1"/>
      <c r="E95" s="5"/>
      <c r="H95" s="6"/>
      <c r="L95" s="8"/>
      <c r="M95" s="9"/>
      <c r="N95" s="12"/>
      <c r="O95" s="13"/>
      <c r="P95" s="22"/>
      <c r="Q95" s="15"/>
      <c r="R95" s="17"/>
      <c r="S95" s="18"/>
      <c r="T95" s="20"/>
      <c r="U95" s="21"/>
    </row>
    <row r="96" spans="2:21" x14ac:dyDescent="0.25">
      <c r="B96" s="1"/>
      <c r="E96" s="5"/>
      <c r="H96" s="6"/>
      <c r="L96" s="8"/>
      <c r="M96" s="9"/>
      <c r="N96" s="12"/>
      <c r="O96" s="13"/>
      <c r="P96" s="22"/>
      <c r="Q96" s="15"/>
      <c r="R96" s="17"/>
      <c r="S96" s="18"/>
      <c r="T96" s="20"/>
      <c r="U96" s="21"/>
    </row>
    <row r="97" spans="2:21" x14ac:dyDescent="0.25">
      <c r="B97" s="1"/>
      <c r="E97" s="5"/>
      <c r="H97" s="6"/>
      <c r="L97" s="8"/>
      <c r="M97" s="9"/>
      <c r="N97" s="12"/>
      <c r="O97" s="13"/>
      <c r="P97" s="22"/>
      <c r="Q97" s="15"/>
      <c r="R97" s="17"/>
      <c r="S97" s="18"/>
      <c r="T97" s="20"/>
      <c r="U97" s="21"/>
    </row>
    <row r="98" spans="2:21" x14ac:dyDescent="0.25">
      <c r="B98" s="1"/>
      <c r="E98" s="5"/>
      <c r="H98" s="6"/>
      <c r="L98" s="8"/>
      <c r="M98" s="9"/>
      <c r="N98" s="12"/>
      <c r="O98" s="13"/>
      <c r="P98" s="22"/>
      <c r="Q98" s="15"/>
      <c r="R98" s="17"/>
      <c r="S98" s="18"/>
      <c r="T98" s="20"/>
      <c r="U98" s="21"/>
    </row>
    <row r="99" spans="2:21" x14ac:dyDescent="0.25">
      <c r="B99" s="1"/>
      <c r="E99" s="5"/>
      <c r="H99" s="6"/>
      <c r="L99" s="8"/>
      <c r="M99" s="9"/>
      <c r="N99" s="12"/>
      <c r="O99" s="13"/>
      <c r="P99" s="22"/>
      <c r="Q99" s="15"/>
      <c r="R99" s="17"/>
      <c r="S99" s="18"/>
      <c r="T99" s="20"/>
      <c r="U99" s="21"/>
    </row>
    <row r="100" spans="2:21" x14ac:dyDescent="0.25">
      <c r="B100" s="1"/>
      <c r="E100" s="5"/>
      <c r="H100" s="6"/>
      <c r="L100" s="8"/>
      <c r="M100" s="9"/>
      <c r="N100" s="12"/>
      <c r="O100" s="13"/>
      <c r="P100" s="22"/>
      <c r="Q100" s="15"/>
      <c r="R100" s="17"/>
      <c r="S100" s="18"/>
      <c r="T100" s="20"/>
      <c r="U100" s="21"/>
    </row>
    <row r="101" spans="2:21" x14ac:dyDescent="0.25">
      <c r="B101" s="1"/>
      <c r="E101" s="5"/>
      <c r="H101" s="6"/>
      <c r="L101" s="8"/>
      <c r="M101" s="9"/>
      <c r="N101" s="12"/>
      <c r="O101" s="13"/>
      <c r="P101" s="22"/>
      <c r="Q101" s="15"/>
      <c r="R101" s="17"/>
      <c r="S101" s="18"/>
      <c r="T101" s="20"/>
      <c r="U101" s="21"/>
    </row>
    <row r="102" spans="2:21" x14ac:dyDescent="0.25">
      <c r="B102" s="1"/>
      <c r="E102" s="5"/>
      <c r="H102" s="6"/>
      <c r="L102" s="8"/>
      <c r="M102" s="9"/>
      <c r="N102" s="12"/>
      <c r="O102" s="13"/>
      <c r="P102" s="22"/>
      <c r="Q102" s="15"/>
      <c r="R102" s="17"/>
      <c r="S102" s="18"/>
      <c r="T102" s="20"/>
      <c r="U102" s="21"/>
    </row>
    <row r="103" spans="2:21" x14ac:dyDescent="0.25">
      <c r="B103" s="1"/>
      <c r="E103" s="5"/>
      <c r="H103" s="6"/>
      <c r="L103" s="8"/>
      <c r="M103" s="9"/>
      <c r="N103" s="12"/>
      <c r="O103" s="13"/>
      <c r="P103" s="22"/>
      <c r="Q103" s="15"/>
      <c r="R103" s="17"/>
      <c r="S103" s="18"/>
      <c r="T103" s="20"/>
      <c r="U103" s="21"/>
    </row>
  </sheetData>
  <sortState ref="B3:H41">
    <sortCondition ref="B3:B41"/>
  </sortState>
  <mergeCells count="7">
    <mergeCell ref="C1:J1"/>
    <mergeCell ref="K1:U1"/>
    <mergeCell ref="L2:M2"/>
    <mergeCell ref="N2:O2"/>
    <mergeCell ref="P2:Q2"/>
    <mergeCell ref="R2:S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2:S9"/>
  <sheetViews>
    <sheetView zoomScale="85" zoomScaleNormal="85" workbookViewId="0"/>
  </sheetViews>
  <sheetFormatPr defaultRowHeight="15" x14ac:dyDescent="0.25"/>
  <cols>
    <col min="15" max="16" width="12.5703125" customWidth="1"/>
    <col min="17" max="17" width="8.140625" bestFit="1" customWidth="1"/>
    <col min="18" max="18" width="10.85546875" customWidth="1"/>
  </cols>
  <sheetData>
    <row r="2" spans="15:19" ht="15" customHeight="1" x14ac:dyDescent="0.25">
      <c r="O2" s="101" t="s">
        <v>57</v>
      </c>
      <c r="P2" s="101"/>
      <c r="Q2" s="102" t="s">
        <v>58</v>
      </c>
      <c r="R2" s="103"/>
      <c r="S2" s="104"/>
    </row>
    <row r="3" spans="15:19" x14ac:dyDescent="0.25">
      <c r="O3" s="101"/>
      <c r="P3" s="101"/>
      <c r="Q3" s="105"/>
      <c r="R3" s="106"/>
      <c r="S3" s="107"/>
    </row>
    <row r="4" spans="15:19" ht="29.25" customHeight="1" x14ac:dyDescent="0.25">
      <c r="O4" s="101"/>
      <c r="P4" s="101"/>
      <c r="Q4" s="108"/>
      <c r="R4" s="109"/>
      <c r="S4" s="110"/>
    </row>
    <row r="5" spans="15:19" x14ac:dyDescent="0.25">
      <c r="O5" s="32" t="s">
        <v>14</v>
      </c>
      <c r="P5" s="32">
        <f ca="1">CORREL(dáta!C4:C53,dáta!H4:H53)</f>
        <v>0.82990945575103292</v>
      </c>
      <c r="Q5" s="33" t="str">
        <f ca="1">IF(ABS(P5)&gt;=0.7,"silná",IF(ABS(P5)&gt;=0.5,"stredná","malá"))</f>
        <v>silná</v>
      </c>
      <c r="R5" s="34" t="str">
        <f ca="1">IF(P5&gt;=0,"pozitívna","negatívna")</f>
        <v>pozitívna</v>
      </c>
      <c r="S5" s="35" t="s">
        <v>59</v>
      </c>
    </row>
    <row r="6" spans="15:19" x14ac:dyDescent="0.25">
      <c r="O6" s="32" t="s">
        <v>13</v>
      </c>
      <c r="P6" s="32">
        <f ca="1">CORREL(dáta!D4:D53,dáta!H4:H53)</f>
        <v>-0.12912879490092288</v>
      </c>
      <c r="Q6" s="33" t="str">
        <f t="shared" ref="Q6:Q9" ca="1" si="0">IF(ABS(P6)&gt;=0.7,"silná",IF(ABS(P6)&gt;=0.5,"stredná","malá"))</f>
        <v>malá</v>
      </c>
      <c r="R6" s="34" t="str">
        <f t="shared" ref="R6:R9" ca="1" si="1">IF(P6&gt;=0,"pozitívna","negatívna")</f>
        <v>negatívna</v>
      </c>
      <c r="S6" s="35" t="s">
        <v>59</v>
      </c>
    </row>
    <row r="7" spans="15:19" x14ac:dyDescent="0.25">
      <c r="O7" s="32" t="s">
        <v>15</v>
      </c>
      <c r="P7" s="32">
        <f ca="1">CORREL(dáta!E4:E53,dáta!H4:H53)</f>
        <v>0.1079978846711316</v>
      </c>
      <c r="Q7" s="33" t="str">
        <f t="shared" ca="1" si="0"/>
        <v>malá</v>
      </c>
      <c r="R7" s="34" t="str">
        <f t="shared" ca="1" si="1"/>
        <v>pozitívna</v>
      </c>
      <c r="S7" s="35" t="s">
        <v>59</v>
      </c>
    </row>
    <row r="8" spans="15:19" x14ac:dyDescent="0.25">
      <c r="O8" s="26" t="s">
        <v>60</v>
      </c>
      <c r="P8" s="26">
        <f ca="1">CORREL(dáta!F4:F53,dáta!H4:H53)</f>
        <v>-0.78511172123762907</v>
      </c>
      <c r="Q8" s="36" t="str">
        <f t="shared" ca="1" si="0"/>
        <v>silná</v>
      </c>
      <c r="R8" s="37" t="str">
        <f t="shared" ca="1" si="1"/>
        <v>negatívna</v>
      </c>
      <c r="S8" s="38" t="s">
        <v>59</v>
      </c>
    </row>
    <row r="9" spans="15:19" x14ac:dyDescent="0.25">
      <c r="O9" s="26" t="s">
        <v>16</v>
      </c>
      <c r="P9" s="26">
        <f ca="1">CORREL(dáta!G4:G53,dáta!H4:H53)</f>
        <v>-6.2921991490121426E-2</v>
      </c>
      <c r="Q9" s="36" t="str">
        <f t="shared" ca="1" si="0"/>
        <v>malá</v>
      </c>
      <c r="R9" s="37" t="str">
        <f t="shared" ca="1" si="1"/>
        <v>negatívna</v>
      </c>
      <c r="S9" s="38" t="s">
        <v>59</v>
      </c>
    </row>
  </sheetData>
  <mergeCells count="2">
    <mergeCell ref="O2:P4"/>
    <mergeCell ref="Q2:S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4:N40"/>
  <sheetViews>
    <sheetView workbookViewId="0">
      <selection activeCell="E25" sqref="E25"/>
    </sheetView>
  </sheetViews>
  <sheetFormatPr defaultRowHeight="15" x14ac:dyDescent="0.25"/>
  <cols>
    <col min="1" max="1" width="2.85546875" customWidth="1"/>
  </cols>
  <sheetData>
    <row r="24" spans="2:5" x14ac:dyDescent="0.25">
      <c r="B24" t="s">
        <v>64</v>
      </c>
    </row>
    <row r="25" spans="2:5" x14ac:dyDescent="0.25">
      <c r="B25" s="111" t="s">
        <v>18</v>
      </c>
      <c r="C25" s="111"/>
      <c r="D25" s="111"/>
      <c r="E25" s="26">
        <f ca="1">COUNTIF(dáta!C4:C53,"&gt;=10000")</f>
        <v>19</v>
      </c>
    </row>
    <row r="26" spans="2:5" x14ac:dyDescent="0.25">
      <c r="B26" s="111" t="s">
        <v>19</v>
      </c>
      <c r="C26" s="111"/>
      <c r="D26" s="111"/>
      <c r="E26" s="26">
        <f ca="1">COUNTIF(dáta!C4:C53,"&gt;10")-COUNTIF(dáta!C4:C53,"&gt;=10000")</f>
        <v>18</v>
      </c>
    </row>
    <row r="27" spans="2:5" x14ac:dyDescent="0.25">
      <c r="B27" s="111" t="s">
        <v>20</v>
      </c>
      <c r="C27" s="111"/>
      <c r="D27" s="111"/>
      <c r="E27" s="26">
        <f ca="1">COUNTIF(dáta!C4:C53,"&lt;=10")</f>
        <v>13</v>
      </c>
    </row>
    <row r="39" spans="2:14" ht="15.75" thickBot="1" x14ac:dyDescent="0.3"/>
    <row r="40" spans="2:14" ht="15.75" thickBot="1" x14ac:dyDescent="0.3">
      <c r="B40" s="40" t="s">
        <v>17</v>
      </c>
      <c r="C40" s="41"/>
      <c r="D40" s="41"/>
      <c r="E40" s="41"/>
      <c r="F40" s="41"/>
      <c r="G40" s="41">
        <f ca="1">'spoločné grafy'!P5</f>
        <v>0.82990945575103292</v>
      </c>
      <c r="H40" s="41" t="str">
        <f ca="1">'spoločné grafy'!Q5</f>
        <v>silná</v>
      </c>
      <c r="I40" s="41" t="str">
        <f ca="1">'spoločné grafy'!R5</f>
        <v>pozitívna</v>
      </c>
      <c r="J40" s="42" t="str">
        <f>'spoločné grafy'!S5</f>
        <v>závislosť</v>
      </c>
      <c r="K40" s="39"/>
      <c r="L40" s="47" t="str">
        <f ca="1">IF(G40&gt;=0.5,"Hypotéza 1. potvrdená","Hypotéza 1. nepotvrdená")</f>
        <v>Hypotéza 1. potvrdená</v>
      </c>
      <c r="M40" s="41"/>
      <c r="N40" s="42"/>
    </row>
  </sheetData>
  <mergeCells count="3">
    <mergeCell ref="B25:D25"/>
    <mergeCell ref="B26:D26"/>
    <mergeCell ref="B27:D2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4:K40"/>
  <sheetViews>
    <sheetView workbookViewId="0"/>
  </sheetViews>
  <sheetFormatPr defaultRowHeight="15" x14ac:dyDescent="0.25"/>
  <cols>
    <col min="1" max="1" width="2.85546875" customWidth="1"/>
    <col min="2" max="2" width="20" customWidth="1"/>
    <col min="3" max="3" width="24.42578125" customWidth="1"/>
  </cols>
  <sheetData>
    <row r="24" spans="2:3" x14ac:dyDescent="0.25">
      <c r="B24" t="s">
        <v>65</v>
      </c>
    </row>
    <row r="25" spans="2:3" x14ac:dyDescent="0.25">
      <c r="B25" s="26" t="s">
        <v>21</v>
      </c>
      <c r="C25" s="26">
        <f ca="1">COUNTIF(dáta!$D$4:$D$53,"&lt;-5")</f>
        <v>7</v>
      </c>
    </row>
    <row r="26" spans="2:3" x14ac:dyDescent="0.25">
      <c r="B26" s="27" t="s">
        <v>22</v>
      </c>
      <c r="C26" s="26">
        <f ca="1">COUNTIFS(dáta!$D$4:$D$53,"&gt;=-5",dáta!$D$4:$D$53,"&lt;0")</f>
        <v>2</v>
      </c>
    </row>
    <row r="27" spans="2:3" x14ac:dyDescent="0.25">
      <c r="B27" s="26" t="s">
        <v>23</v>
      </c>
      <c r="C27" s="26">
        <f ca="1">COUNTIFS(dáta!$D$4:$D$53,"&gt;=0",dáta!$D$4:$D$53,"&lt;5")</f>
        <v>6</v>
      </c>
    </row>
    <row r="28" spans="2:3" x14ac:dyDescent="0.25">
      <c r="B28" s="27" t="s">
        <v>24</v>
      </c>
      <c r="C28" s="26">
        <f ca="1">COUNTIFS(dáta!$D$4:$D$53,"&gt;=5",dáta!$D$4:$D$53,"&lt;15")</f>
        <v>15</v>
      </c>
    </row>
    <row r="29" spans="2:3" x14ac:dyDescent="0.25">
      <c r="B29" s="26" t="s">
        <v>30</v>
      </c>
      <c r="C29" s="26">
        <f ca="1">COUNTIF(dáta!$D$4:$D$53,"&gt;=15")</f>
        <v>20</v>
      </c>
    </row>
    <row r="39" spans="2:11" ht="15.75" thickBot="1" x14ac:dyDescent="0.3"/>
    <row r="40" spans="2:11" ht="15.75" thickBot="1" x14ac:dyDescent="0.3">
      <c r="B40" s="43" t="s">
        <v>25</v>
      </c>
      <c r="C40" s="44"/>
      <c r="D40" s="44">
        <f ca="1">'spoločné grafy'!P6</f>
        <v>-0.12912879490092288</v>
      </c>
      <c r="E40" s="44" t="str">
        <f ca="1">'spoločné grafy'!Q6</f>
        <v>malá</v>
      </c>
      <c r="F40" s="44" t="str">
        <f ca="1">'spoločné grafy'!R6</f>
        <v>negatívna</v>
      </c>
      <c r="G40" s="45" t="str">
        <f>'spoločné grafy'!S6</f>
        <v>závislosť</v>
      </c>
      <c r="I40" s="46" t="str">
        <f ca="1">IF(D40&gt;=0.5,"Hypotéza 2. potvrdená","Hypotéza 2. nepotvrdená")</f>
        <v>Hypotéza 2. nepotvrdená</v>
      </c>
      <c r="J40" s="48"/>
      <c r="K40" s="49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4:M40"/>
  <sheetViews>
    <sheetView workbookViewId="0"/>
  </sheetViews>
  <sheetFormatPr defaultRowHeight="15" x14ac:dyDescent="0.25"/>
  <cols>
    <col min="1" max="1" width="2.85546875" customWidth="1"/>
    <col min="3" max="3" width="20" customWidth="1"/>
  </cols>
  <sheetData>
    <row r="24" spans="3:4" x14ac:dyDescent="0.25">
      <c r="C24" t="s">
        <v>66</v>
      </c>
    </row>
    <row r="25" spans="3:4" x14ac:dyDescent="0.25">
      <c r="C25" s="26" t="s">
        <v>26</v>
      </c>
      <c r="D25" s="26">
        <f ca="1">COUNTIF(dáta!E4:E53,"&lt;0,2")</f>
        <v>10</v>
      </c>
    </row>
    <row r="26" spans="3:4" x14ac:dyDescent="0.25">
      <c r="C26" s="26" t="s">
        <v>27</v>
      </c>
      <c r="D26" s="26">
        <f ca="1">COUNTIFS(dáta!$E$4:$E$53,"&gt;=0,2",dáta!$E$4:$E$53,"&lt;0,4")</f>
        <v>12</v>
      </c>
    </row>
    <row r="27" spans="3:4" x14ac:dyDescent="0.25">
      <c r="C27" s="26" t="s">
        <v>28</v>
      </c>
      <c r="D27" s="26">
        <f ca="1">COUNTIFS(dáta!$E$4:$E$53,"&gt;=0,4",dáta!$E$4:$E$53,"&lt;0,6")</f>
        <v>9</v>
      </c>
    </row>
    <row r="28" spans="3:4" x14ac:dyDescent="0.25">
      <c r="C28" s="26" t="s">
        <v>29</v>
      </c>
      <c r="D28" s="26">
        <f ca="1">COUNTIFS(dáta!$E$4:$E$53,"&gt;=0,6",dáta!$E$4:$E$53,"&lt;0,8")</f>
        <v>12</v>
      </c>
    </row>
    <row r="29" spans="3:4" x14ac:dyDescent="0.25">
      <c r="C29" s="26" t="s">
        <v>31</v>
      </c>
      <c r="D29" s="26">
        <f ca="1">COUNTIF(dáta!E4:E53,"&gt;=0,8")</f>
        <v>7</v>
      </c>
    </row>
    <row r="39" spans="2:13" ht="15.75" thickBot="1" x14ac:dyDescent="0.3"/>
    <row r="40" spans="2:13" ht="15.75" thickBot="1" x14ac:dyDescent="0.3">
      <c r="B40" s="50" t="s">
        <v>32</v>
      </c>
      <c r="C40" s="51"/>
      <c r="D40" s="51"/>
      <c r="E40" s="51"/>
      <c r="F40" s="51">
        <f ca="1">'spoločné grafy'!P7</f>
        <v>0.1079978846711316</v>
      </c>
      <c r="G40" s="51" t="str">
        <f ca="1">'spoločné grafy'!Q7</f>
        <v>malá</v>
      </c>
      <c r="H40" s="51" t="str">
        <f ca="1">'spoločné grafy'!R7</f>
        <v>pozitívna</v>
      </c>
      <c r="I40" s="53" t="str">
        <f>'spoločné grafy'!S7</f>
        <v>závislosť</v>
      </c>
      <c r="J40" s="39"/>
      <c r="K40" s="54" t="str">
        <f ca="1">IF(F40&gt;=0.5,"Hypotéza 3. potvrdená","Hypotéza 3. nepotvrdená")</f>
        <v>Hypotéza 3. nepotvrdená</v>
      </c>
      <c r="L40" s="52"/>
      <c r="M40" s="53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"/>
  <sheetViews>
    <sheetView workbookViewId="0">
      <selection activeCell="L2" sqref="L2:Q2"/>
    </sheetView>
  </sheetViews>
  <sheetFormatPr defaultRowHeight="15" x14ac:dyDescent="0.25"/>
  <cols>
    <col min="8" max="8" width="7" customWidth="1"/>
    <col min="9" max="9" width="10.7109375" customWidth="1"/>
    <col min="10" max="10" width="10.5703125" customWidth="1"/>
  </cols>
  <sheetData>
    <row r="1" spans="2:17" ht="15.75" thickBot="1" x14ac:dyDescent="0.3"/>
    <row r="2" spans="2:17" ht="15.75" thickBot="1" x14ac:dyDescent="0.3">
      <c r="B2" s="112" t="s">
        <v>67</v>
      </c>
      <c r="C2" s="113"/>
      <c r="D2" s="113"/>
      <c r="E2" s="113"/>
      <c r="F2" s="113"/>
      <c r="G2" s="55">
        <f ca="1">'spoločné grafy'!P8</f>
        <v>-0.78511172123762907</v>
      </c>
      <c r="H2" s="55" t="str">
        <f ca="1">'spoločné grafy'!Q8</f>
        <v>silná</v>
      </c>
      <c r="I2" s="55" t="str">
        <f ca="1">'spoločné grafy'!R8</f>
        <v>negatívna</v>
      </c>
      <c r="J2" s="56" t="str">
        <f>'spoločné grafy'!S8</f>
        <v>závislosť</v>
      </c>
      <c r="L2" s="114" t="str">
        <f ca="1">IF(H2&lt;&gt;"malá","Čím kyslejšia pôda, tým väčší podiel tryskinu.","pH pôdy nemá vplyv na množstvo tryskinu v plode")</f>
        <v>Čím kyslejšia pôda, tým väčší podiel tryskinu.</v>
      </c>
      <c r="M2" s="115"/>
      <c r="N2" s="115"/>
      <c r="O2" s="115"/>
      <c r="P2" s="115"/>
      <c r="Q2" s="116"/>
    </row>
    <row r="3" spans="2:17" ht="15.75" thickBot="1" x14ac:dyDescent="0.3">
      <c r="B3" s="112" t="s">
        <v>34</v>
      </c>
      <c r="C3" s="113"/>
      <c r="D3" s="113"/>
      <c r="E3" s="113"/>
      <c r="F3" s="113"/>
      <c r="G3" s="55">
        <f ca="1">'spoločné grafy'!P9</f>
        <v>-6.2921991490121426E-2</v>
      </c>
      <c r="H3" s="55" t="str">
        <f ca="1">'spoločné grafy'!Q9</f>
        <v>malá</v>
      </c>
      <c r="I3" s="55" t="str">
        <f ca="1">'spoločné grafy'!R9</f>
        <v>negatívna</v>
      </c>
      <c r="J3" s="56" t="str">
        <f>'spoločné grafy'!S9</f>
        <v>závislosť</v>
      </c>
      <c r="L3" s="114" t="str">
        <f ca="1">IF(G2&lt;&gt;"malá","Veľkosť plodu a množstvo tryskinu v plode nesúvisia.","veľkosť plodu nemá vplyv na množstvo tryskinu v plode")</f>
        <v>Veľkosť plodu a množstvo tryskinu v plode nesúvisia.</v>
      </c>
      <c r="M3" s="115"/>
      <c r="N3" s="115"/>
      <c r="O3" s="115"/>
      <c r="P3" s="115"/>
      <c r="Q3" s="116"/>
    </row>
    <row r="4" spans="2:17" x14ac:dyDescent="0.25">
      <c r="L4" s="117"/>
      <c r="M4" s="117"/>
      <c r="N4" s="117"/>
      <c r="O4" s="117"/>
      <c r="P4" s="117"/>
      <c r="Q4" s="117"/>
    </row>
  </sheetData>
  <mergeCells count="5">
    <mergeCell ref="B2:F2"/>
    <mergeCell ref="B3:F3"/>
    <mergeCell ref="L2:Q2"/>
    <mergeCell ref="L4:Q4"/>
    <mergeCell ref="L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úvod, výskumný problém a otázky</vt:lpstr>
      <vt:lpstr>premenné a hypotézy</vt:lpstr>
      <vt:lpstr>dotazník</vt:lpstr>
      <vt:lpstr>dáta</vt:lpstr>
      <vt:lpstr>spoločné grafy</vt:lpstr>
      <vt:lpstr>svetlo</vt:lpstr>
      <vt:lpstr>teplo</vt:lpstr>
      <vt:lpstr>vlhkosť</vt:lpstr>
      <vt:lpstr>ostatné závislosti</vt:lpstr>
      <vt:lpstr>Záver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Guniš</dc:creator>
  <cp:lastModifiedBy>Jan Guniš</cp:lastModifiedBy>
  <dcterms:created xsi:type="dcterms:W3CDTF">2012-12-12T19:00:32Z</dcterms:created>
  <dcterms:modified xsi:type="dcterms:W3CDTF">2016-03-30T06:28:42Z</dcterms:modified>
</cp:coreProperties>
</file>